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5970" activeTab="0"/>
  </bookViews>
  <sheets>
    <sheet name="1" sheetId="1" r:id="rId1"/>
    <sheet name="2" sheetId="2" r:id="rId2"/>
    <sheet name="Stiffener Horizontal" sheetId="3" r:id="rId3"/>
    <sheet name="Vertical" sheetId="4" r:id="rId4"/>
    <sheet name="a" sheetId="5" r:id="rId5"/>
  </sheets>
  <definedNames>
    <definedName name="ca">'1'!$P$13</definedName>
    <definedName name="client">'1'!$E$4</definedName>
    <definedName name="coname">'1'!$U$65</definedName>
    <definedName name="contractor">'1'!$E$5</definedName>
    <definedName name="cosymbol">'1'!$B$65</definedName>
    <definedName name="cpu">'1'!$S$19</definedName>
    <definedName name="dgnp">'1'!$F$14</definedName>
    <definedName name="dgnt">'1'!$I$14</definedName>
    <definedName name="docno">'1'!$R$4</definedName>
    <definedName name="fbhh">'1'!$Z$21</definedName>
    <definedName name="fbht">'1'!$AA$21</definedName>
    <definedName name="fbvh">'1'!$Z$23</definedName>
    <definedName name="fbvt">'1'!$AA$23</definedName>
    <definedName name="fname">'1'!$E$11</definedName>
    <definedName name="itemno">'1'!$R$7</definedName>
    <definedName name="jobno">'1'!$R$3</definedName>
    <definedName name="jobnoid">'1'!$W$3</definedName>
    <definedName name="plateh">'1'!$P$23</definedName>
    <definedName name="platev">'1'!$T$18</definedName>
    <definedName name="_xlnm.Print_Area" localSheetId="0">'1'!$A$1:$U$65</definedName>
    <definedName name="_xlnm.Print_Area" localSheetId="1">'2'!$A$1:$U$64</definedName>
    <definedName name="_xlnm.Print_Area" localSheetId="4">'a'!$A$1:$U$63</definedName>
    <definedName name="_xlnm.Print_Area" localSheetId="2">'Stiffener Horizontal'!$A$1:$U$63</definedName>
    <definedName name="_xlnm.Print_Area" localSheetId="3">'Vertical'!$A$1:$U$63</definedName>
    <definedName name="project">'1'!$E$3</definedName>
    <definedName name="punit">'1'!$Y$11</definedName>
    <definedName name="rt">'1'!$P$11</definedName>
    <definedName name="service">'1'!$E$7</definedName>
    <definedName name="sheetqty">'1'!$U$9</definedName>
    <definedName name="shellm">'1'!$F$16</definedName>
    <definedName name="shellmcode">'1'!$W$17</definedName>
    <definedName name="shellmkind">'1'!$Y$17</definedName>
    <definedName name="shellt">'1'!$I$16</definedName>
    <definedName name="spanh">'1'!$P$17</definedName>
    <definedName name="spanhsymbol">'1'!$P$18</definedName>
    <definedName name="spanv">'1'!$N$19</definedName>
    <definedName name="spanvsymbol">'1'!$P$19</definedName>
    <definedName name="spc1h">'Stiffener Horizontal'!$E$20</definedName>
    <definedName name="spc1v">'Vertical'!$E$20</definedName>
    <definedName name="spc2h">'Stiffener Horizontal'!$E$23</definedName>
    <definedName name="spc2v">'Vertical'!$E$23</definedName>
    <definedName name="spih">'Stiffener Horizontal'!$R$38</definedName>
    <definedName name="spiv">'Vertical'!$R$38</definedName>
    <definedName name="stfnhkind">'1'!$X$21</definedName>
    <definedName name="stfnhsize">'1'!$X$22</definedName>
    <definedName name="stfnm">'1'!$F$17</definedName>
    <definedName name="stfnmcode">'1'!$W$20</definedName>
    <definedName name="stfnvkind">'1'!$X$23</definedName>
    <definedName name="stfnvsize">'1'!$X$24</definedName>
    <definedName name="title">'1'!$B$1</definedName>
    <definedName name="tunit">'1'!$Y$12</definedName>
  </definedNames>
  <calcPr fullCalcOnLoad="1"/>
</workbook>
</file>

<file path=xl/comments3.xml><?xml version="1.0" encoding="utf-8"?>
<comments xmlns="http://schemas.openxmlformats.org/spreadsheetml/2006/main">
  <authors>
    <author>KDH</author>
  </authors>
  <commentList>
    <comment ref="N23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  <comment ref="L2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4.xml><?xml version="1.0" encoding="utf-8"?>
<comments xmlns="http://schemas.openxmlformats.org/spreadsheetml/2006/main">
  <authors>
    <author>KDH</author>
  </authors>
  <commentList>
    <comment ref="N23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  <comment ref="L2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sharedStrings.xml><?xml version="1.0" encoding="utf-8"?>
<sst xmlns="http://schemas.openxmlformats.org/spreadsheetml/2006/main" count="577" uniqueCount="357">
  <si>
    <t xml:space="preserve"> Project</t>
  </si>
  <si>
    <t xml:space="preserve"> Client</t>
  </si>
  <si>
    <t xml:space="preserve"> Contractor</t>
  </si>
  <si>
    <t>Date</t>
  </si>
  <si>
    <t>Item No.</t>
  </si>
  <si>
    <t xml:space="preserve"> Design</t>
  </si>
  <si>
    <t>℃</t>
  </si>
  <si>
    <t>kg/cm2.g</t>
  </si>
  <si>
    <t>Doc. No.</t>
  </si>
  <si>
    <t>Revision</t>
  </si>
  <si>
    <t>Sheet No.</t>
  </si>
  <si>
    <t>of</t>
  </si>
  <si>
    <t>t</t>
  </si>
  <si>
    <t>P</t>
  </si>
  <si>
    <t>A</t>
  </si>
  <si>
    <t>B</t>
  </si>
  <si>
    <t xml:space="preserve"> Service of Unit</t>
  </si>
  <si>
    <t>D E S I G N     D A T A</t>
  </si>
  <si>
    <t xml:space="preserve"> Fluid Name</t>
  </si>
  <si>
    <t>Water</t>
  </si>
  <si>
    <t>Pressure</t>
  </si>
  <si>
    <t>Temperature</t>
  </si>
  <si>
    <t xml:space="preserve"> Corrosion Allowance</t>
  </si>
  <si>
    <t xml:space="preserve"> Shell</t>
  </si>
  <si>
    <t>t</t>
  </si>
  <si>
    <t>plate</t>
  </si>
  <si>
    <t>1.</t>
  </si>
  <si>
    <t>2.</t>
  </si>
  <si>
    <t>3.</t>
  </si>
  <si>
    <r>
      <t>S T R E N G T H     C A L C U L A T I O N     f o r</t>
    </r>
    <r>
      <rPr>
        <b/>
        <sz val="10"/>
        <color indexed="12"/>
        <rFont val="Arial"/>
        <family val="2"/>
      </rPr>
      <t xml:space="preserve">     F L A T     P L A T E</t>
    </r>
  </si>
  <si>
    <t xml:space="preserve"> Project</t>
  </si>
  <si>
    <t>Doc. No.</t>
  </si>
  <si>
    <t xml:space="preserve"> Client</t>
  </si>
  <si>
    <t>Date</t>
  </si>
  <si>
    <t xml:space="preserve"> Contractor</t>
  </si>
  <si>
    <t>Revision</t>
  </si>
  <si>
    <t>Sheet No.</t>
  </si>
  <si>
    <t>of</t>
  </si>
  <si>
    <t xml:space="preserve"> Service of Unit</t>
  </si>
  <si>
    <t>Item No.</t>
  </si>
  <si>
    <t>A A A A A</t>
  </si>
  <si>
    <t>2008.  3.  27.</t>
  </si>
  <si>
    <t>x</t>
  </si>
  <si>
    <t>4.</t>
  </si>
  <si>
    <t>5.</t>
  </si>
  <si>
    <t>SC - FP - 100</t>
  </si>
  <si>
    <t>Steam Surface Condenser</t>
  </si>
  <si>
    <t>SSC - 001</t>
  </si>
  <si>
    <t xml:space="preserve"> Stiffener</t>
  </si>
  <si>
    <t xml:space="preserve"> Mat. Code</t>
  </si>
  <si>
    <t>Q'ty</t>
  </si>
  <si>
    <t>H</t>
  </si>
  <si>
    <t>t</t>
  </si>
  <si>
    <t>Flat Bar</t>
  </si>
  <si>
    <t>Sel. &gt;</t>
  </si>
  <si>
    <t>Shape&gt;</t>
  </si>
  <si>
    <t>A(H)</t>
  </si>
  <si>
    <t>t2</t>
  </si>
  <si>
    <t>M A T E R I A L S     &amp;     S I Z E</t>
  </si>
  <si>
    <t>D I M E N S I O N A L     S C H E M A T I C</t>
  </si>
  <si>
    <t>=</t>
  </si>
  <si>
    <t>+</t>
  </si>
  <si>
    <t>x</t>
  </si>
  <si>
    <t>S</t>
  </si>
  <si>
    <t>=</t>
  </si>
  <si>
    <t>mm  used.</t>
  </si>
  <si>
    <t>Where,</t>
  </si>
  <si>
    <t>mm</t>
  </si>
  <si>
    <t>mm</t>
  </si>
  <si>
    <t>P</t>
  </si>
  <si>
    <t>S</t>
  </si>
  <si>
    <t>CA</t>
  </si>
  <si>
    <r>
      <t>α P b</t>
    </r>
    <r>
      <rPr>
        <vertAlign val="superscript"/>
        <sz val="8"/>
        <rFont val="Arial"/>
        <family val="2"/>
      </rPr>
      <t>4</t>
    </r>
  </si>
  <si>
    <t>x</t>
  </si>
  <si>
    <t>^4</t>
  </si>
  <si>
    <t>=</t>
  </si>
  <si>
    <r>
      <t>E ta</t>
    </r>
    <r>
      <rPr>
        <vertAlign val="superscript"/>
        <sz val="8"/>
        <rFont val="Arial"/>
        <family val="2"/>
      </rPr>
      <t>3</t>
    </r>
  </si>
  <si>
    <t>^3</t>
  </si>
  <si>
    <t>Where,</t>
  </si>
  <si>
    <t>E</t>
  </si>
  <si>
    <t>ta</t>
  </si>
  <si>
    <t>mm</t>
  </si>
  <si>
    <t xml:space="preserve">   Ymax =</t>
  </si>
  <si>
    <t>+ CA</t>
  </si>
  <si>
    <t>Unit</t>
  </si>
  <si>
    <t xml:space="preserve">ta / 2 =  </t>
  </si>
  <si>
    <t>a</t>
  </si>
  <si>
    <t>b</t>
  </si>
  <si>
    <t>Shorter stiffener span</t>
  </si>
  <si>
    <t>B</t>
  </si>
  <si>
    <t>t</t>
  </si>
  <si>
    <t>Flat Bar</t>
  </si>
  <si>
    <t>A(H)</t>
  </si>
  <si>
    <t>t2</t>
  </si>
  <si>
    <t>H</t>
  </si>
  <si>
    <t>Sel. &gt;</t>
  </si>
  <si>
    <t>Shape&gt;</t>
  </si>
  <si>
    <t>=</t>
  </si>
  <si>
    <t>mm</t>
  </si>
  <si>
    <t xml:space="preserve">   Ymax =</t>
  </si>
  <si>
    <t xml:space="preserve">ta / 2 =  </t>
  </si>
  <si>
    <t>D E S I G N     D A T A</t>
  </si>
  <si>
    <t>Sel. &gt;</t>
  </si>
  <si>
    <t>Shape&gt;</t>
  </si>
  <si>
    <t>=</t>
  </si>
  <si>
    <t>S</t>
  </si>
  <si>
    <t>mm  used.</t>
  </si>
  <si>
    <t>1.</t>
  </si>
  <si>
    <t>Horiz.</t>
  </si>
  <si>
    <t>Vert.</t>
  </si>
  <si>
    <t>ASTM</t>
  </si>
  <si>
    <t>Minimum Required Thickness</t>
  </si>
  <si>
    <t>C  P</t>
  </si>
  <si>
    <t>C</t>
  </si>
  <si>
    <t>Bending Moment</t>
  </si>
  <si>
    <t>^2</t>
  </si>
  <si>
    <t>Minimum Required Thickness of Flat Plate</t>
  </si>
  <si>
    <t>6  M</t>
  </si>
  <si>
    <t>by</t>
  </si>
  <si>
    <r>
      <t xml:space="preserve">SHI,  SD VB1013,  </t>
    </r>
    <r>
      <rPr>
        <b/>
        <sz val="8"/>
        <rFont val="돋움"/>
        <family val="3"/>
      </rPr>
      <t>복수기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수실의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강도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계산</t>
    </r>
  </si>
  <si>
    <t>+ CA</t>
  </si>
  <si>
    <t xml:space="preserve">   =</t>
  </si>
  <si>
    <t>+</t>
  </si>
  <si>
    <t>Stiffener</t>
  </si>
  <si>
    <t>Moment of Inertia</t>
  </si>
  <si>
    <t>" y "</t>
  </si>
  <si>
    <t>=</t>
  </si>
  <si>
    <t>S  =</t>
  </si>
  <si>
    <t xml:space="preserve"> Service of Unit</t>
  </si>
  <si>
    <t xml:space="preserve"> Stiffener Span</t>
  </si>
  <si>
    <t xml:space="preserve"> Plate Thicknss</t>
  </si>
  <si>
    <t>C A L C U L A T I O N     o f     P R O P E R T I E S     o f     S E C T I O N S</t>
  </si>
  <si>
    <t>C A L C U L A T I O N</t>
  </si>
  <si>
    <t>" L "</t>
  </si>
  <si>
    <t>" t "</t>
  </si>
  <si>
    <t>L  x  ta</t>
  </si>
  <si>
    <t>mm2</t>
  </si>
  <si>
    <t>Area of Plate Section and Stiffener</t>
  </si>
  <si>
    <t>" H "</t>
  </si>
  <si>
    <t>" ta "</t>
  </si>
  <si>
    <t>Distance from Neutral Axis to Extreme Fiber, Stiffener</t>
  </si>
  <si>
    <t>Flat Bar</t>
  </si>
  <si>
    <t>L Angle</t>
  </si>
  <si>
    <t>I Beam</t>
  </si>
  <si>
    <t>H Beam</t>
  </si>
  <si>
    <t xml:space="preserve"> </t>
  </si>
  <si>
    <t>H - [ t ( 2 ( H - t ) + B ) + ( H - t )^2 ] / [ 2 ( H - t + B ) ]</t>
  </si>
  <si>
    <t>" h3 "</t>
  </si>
  <si>
    <t xml:space="preserve">  Ap</t>
  </si>
  <si>
    <t xml:space="preserve">  As</t>
  </si>
  <si>
    <t xml:space="preserve">  y</t>
  </si>
  <si>
    <t>" C2 "</t>
  </si>
  <si>
    <t>" C "</t>
  </si>
  <si>
    <t>" C1 "</t>
  </si>
  <si>
    <t xml:space="preserve">  A</t>
  </si>
  <si>
    <t xml:space="preserve">  C1</t>
  </si>
  <si>
    <t>Distance from Neutral Axis to Extreme Fiber, Combined Section</t>
  </si>
  <si>
    <t xml:space="preserve">  Ip</t>
  </si>
  <si>
    <t xml:space="preserve">  Is</t>
  </si>
  <si>
    <t xml:space="preserve">  I</t>
  </si>
  <si>
    <t>x</t>
  </si>
  <si>
    <t>^3   /</t>
  </si>
  <si>
    <t>Ap  +  As</t>
  </si>
  <si>
    <t>ta / 2  +  As  x  h3  /  A</t>
  </si>
  <si>
    <t>Ip  +  Is  +  Ap  hp^2  +  As  hs^2</t>
  </si>
  <si>
    <t>L  ta^3  / 12</t>
  </si>
  <si>
    <r>
      <t xml:space="preserve">" </t>
    </r>
    <r>
      <rPr>
        <b/>
        <sz val="8"/>
        <rFont val="Arial"/>
        <family val="2"/>
      </rPr>
      <t>hp</t>
    </r>
    <r>
      <rPr>
        <sz val="8"/>
        <rFont val="Arial"/>
        <family val="2"/>
      </rPr>
      <t xml:space="preserve"> "</t>
    </r>
  </si>
  <si>
    <r>
      <t xml:space="preserve">" </t>
    </r>
    <r>
      <rPr>
        <b/>
        <sz val="8"/>
        <rFont val="Arial"/>
        <family val="2"/>
      </rPr>
      <t>hs</t>
    </r>
    <r>
      <rPr>
        <sz val="8"/>
        <rFont val="Arial"/>
        <family val="2"/>
      </rPr>
      <t xml:space="preserve"> "</t>
    </r>
  </si>
  <si>
    <t>H  x  t</t>
  </si>
  <si>
    <t>H  /  2</t>
  </si>
  <si>
    <t>(  H  +  B  -  t  )  x  t</t>
  </si>
  <si>
    <t>H  x  t  +  (  B  -  t  )  x  t2</t>
  </si>
  <si>
    <t>(  H  -  2 t2  )  x  t  +  2 B  x  t2</t>
  </si>
  <si>
    <t>t  H^3  /  12</t>
  </si>
  <si>
    <t>1/3 [  t y^3  +  B ( H - y )^3  -  ( B - t ) ( H - y - t )^3  ]</t>
  </si>
  <si>
    <t>[  B H^3  -  ( H - 2 t2 )^3  ( B - t )  ]  /  12</t>
  </si>
  <si>
    <t>- B L A N K -</t>
  </si>
  <si>
    <t xml:space="preserve">  t</t>
  </si>
  <si>
    <t xml:space="preserve">  Y</t>
  </si>
  <si>
    <t xml:space="preserve">  M</t>
  </si>
  <si>
    <t>Bending Moment</t>
  </si>
  <si>
    <t xml:space="preserve">  Mc</t>
  </si>
  <si>
    <t>=</t>
  </si>
  <si>
    <t>I</t>
  </si>
  <si>
    <t>mm^4</t>
  </si>
  <si>
    <t xml:space="preserve">  Sp</t>
  </si>
  <si>
    <t>C1</t>
  </si>
  <si>
    <t>C2</t>
  </si>
  <si>
    <t xml:space="preserve">  Ss</t>
  </si>
  <si>
    <t>Bending Stress in the Outer Fiber of the Plate</t>
  </si>
  <si>
    <t>Bending Stress in the Outer Fiber of the Stiffener</t>
  </si>
  <si>
    <t>C Channel</t>
  </si>
  <si>
    <t xml:space="preserve">  Yc</t>
  </si>
  <si>
    <t>384  E  I</t>
  </si>
  <si>
    <t>^4</t>
  </si>
  <si>
    <t>Deflection of the Plate</t>
  </si>
  <si>
    <t>2008.  4.  5.</t>
  </si>
  <si>
    <t>C A L C U L A T I O N     o f     P R O P E R T I E S     o f     S E C T I O N S</t>
  </si>
  <si>
    <t xml:space="preserve"> Project</t>
  </si>
  <si>
    <t>Doc. No.</t>
  </si>
  <si>
    <t xml:space="preserve"> Client</t>
  </si>
  <si>
    <t>Date</t>
  </si>
  <si>
    <t>2008.  4.  5.</t>
  </si>
  <si>
    <t xml:space="preserve"> Contractor</t>
  </si>
  <si>
    <t>Revision</t>
  </si>
  <si>
    <t>Sheet No.</t>
  </si>
  <si>
    <t>of</t>
  </si>
  <si>
    <t xml:space="preserve"> Service of Unit</t>
  </si>
  <si>
    <t>Item No.</t>
  </si>
  <si>
    <t>D E S I G N     D A T A</t>
  </si>
  <si>
    <t xml:space="preserve"> Plate Thicknss</t>
  </si>
  <si>
    <t>t</t>
  </si>
  <si>
    <t xml:space="preserve"> Stiffener Span</t>
  </si>
  <si>
    <t>mm</t>
  </si>
  <si>
    <t xml:space="preserve"> Stiffener</t>
  </si>
  <si>
    <t xml:space="preserve"> Corrosion Allowance</t>
  </si>
  <si>
    <t>Flat Bar</t>
  </si>
  <si>
    <t>A(H)</t>
  </si>
  <si>
    <t>B</t>
  </si>
  <si>
    <t>t2</t>
  </si>
  <si>
    <t>C A L C U L A T I O N</t>
  </si>
  <si>
    <t>H</t>
  </si>
  <si>
    <t>" L "</t>
  </si>
  <si>
    <t>" ta "</t>
  </si>
  <si>
    <t>" C1 "</t>
  </si>
  <si>
    <t>" C "</t>
  </si>
  <si>
    <t>" h3 "</t>
  </si>
  <si>
    <r>
      <t xml:space="preserve">" </t>
    </r>
    <r>
      <rPr>
        <b/>
        <sz val="8"/>
        <rFont val="Arial"/>
        <family val="2"/>
      </rPr>
      <t>hp</t>
    </r>
    <r>
      <rPr>
        <sz val="8"/>
        <rFont val="Arial"/>
        <family val="2"/>
      </rPr>
      <t xml:space="preserve"> "</t>
    </r>
  </si>
  <si>
    <t>" y "</t>
  </si>
  <si>
    <r>
      <t xml:space="preserve">" </t>
    </r>
    <r>
      <rPr>
        <b/>
        <sz val="8"/>
        <rFont val="Arial"/>
        <family val="2"/>
      </rPr>
      <t>hs</t>
    </r>
    <r>
      <rPr>
        <sz val="8"/>
        <rFont val="Arial"/>
        <family val="2"/>
      </rPr>
      <t xml:space="preserve"> "</t>
    </r>
  </si>
  <si>
    <t>" C2 "</t>
  </si>
  <si>
    <t>" H "</t>
  </si>
  <si>
    <t>" t "</t>
  </si>
  <si>
    <t>Area of Plate Section and Stiffener</t>
  </si>
  <si>
    <t xml:space="preserve">  Ap</t>
  </si>
  <si>
    <t>=</t>
  </si>
  <si>
    <t>L  x  ta</t>
  </si>
  <si>
    <t>x</t>
  </si>
  <si>
    <t>mm2</t>
  </si>
  <si>
    <t xml:space="preserve">  As</t>
  </si>
  <si>
    <t>H  x  t</t>
  </si>
  <si>
    <t>H  /  2</t>
  </si>
  <si>
    <t xml:space="preserve">  A</t>
  </si>
  <si>
    <t>Ap  +  As</t>
  </si>
  <si>
    <t>L Angle</t>
  </si>
  <si>
    <t>(  H  +  B  -  t  )  x  t</t>
  </si>
  <si>
    <t>H - [ t ( 2 ( H - t ) + B ) + ( H - t )^2 ] / [ 2 ( H - t + B ) ]</t>
  </si>
  <si>
    <t>Distance from Neutral Axis to Extreme Fiber, Stiffener</t>
  </si>
  <si>
    <t>C Channel</t>
  </si>
  <si>
    <t>H  x  t  +  (  B  -  t  )  x  t2</t>
  </si>
  <si>
    <t xml:space="preserve"> </t>
  </si>
  <si>
    <t xml:space="preserve">  y</t>
  </si>
  <si>
    <t>I Beam</t>
  </si>
  <si>
    <t>(  H  -  2 t2  )  x  t  +  2 B  x  t2</t>
  </si>
  <si>
    <t>Distance from Neutral Axis to Extreme Fiber, Combined Section</t>
  </si>
  <si>
    <t>H Beam</t>
  </si>
  <si>
    <t xml:space="preserve">  C1</t>
  </si>
  <si>
    <t>ta / 2  +  As  x  h3  /  A</t>
  </si>
  <si>
    <t>Moment of Inertia</t>
  </si>
  <si>
    <t xml:space="preserve">  Ip</t>
  </si>
  <si>
    <t>L  ta^3  / 12</t>
  </si>
  <si>
    <t>^3   /</t>
  </si>
  <si>
    <t xml:space="preserve">  Is</t>
  </si>
  <si>
    <t>t  H^3  /  12</t>
  </si>
  <si>
    <t xml:space="preserve">  I</t>
  </si>
  <si>
    <t>Ip  +  Is  +  Ap  hp^2  +  As  hs^2</t>
  </si>
  <si>
    <t>1/3 [  t y^3  +  B ( H - y )^3  -  ( B - t ) ( H - y - t )^3  ]</t>
  </si>
  <si>
    <t>[  B H^3  -  ( H - 2 t2 )^3  ( B - t )  ]  /  12</t>
  </si>
  <si>
    <t>- B L A N K -</t>
  </si>
  <si>
    <t>1.</t>
  </si>
  <si>
    <t>2.</t>
  </si>
  <si>
    <t>3.</t>
  </si>
  <si>
    <t>4.</t>
  </si>
  <si>
    <t>5.</t>
  </si>
  <si>
    <t xml:space="preserve"> Flat Plate Formula</t>
  </si>
  <si>
    <t xml:space="preserve"> Bending Equation</t>
  </si>
  <si>
    <t xml:space="preserve"> HEI, Standards for Steam Surface Condenser,  8.2.5.3.1</t>
  </si>
  <si>
    <r>
      <t>S T R E N G T H     C A L C U L A T I O N     f o r</t>
    </r>
    <r>
      <rPr>
        <b/>
        <sz val="10"/>
        <color indexed="12"/>
        <rFont val="Arial"/>
        <family val="2"/>
      </rPr>
      <t xml:space="preserve">     F L A T     P L A T E</t>
    </r>
  </si>
  <si>
    <t xml:space="preserve"> Project</t>
  </si>
  <si>
    <t>Doc. No.</t>
  </si>
  <si>
    <t xml:space="preserve"> Client</t>
  </si>
  <si>
    <t>Date</t>
  </si>
  <si>
    <t xml:space="preserve"> Contractor</t>
  </si>
  <si>
    <t>Revision</t>
  </si>
  <si>
    <t>Sheet No.</t>
  </si>
  <si>
    <t>of</t>
  </si>
  <si>
    <t xml:space="preserve"> Service of Unit</t>
  </si>
  <si>
    <t>Item No.</t>
  </si>
  <si>
    <t>D E S I G N     D A T A</t>
  </si>
  <si>
    <t>Unit</t>
  </si>
  <si>
    <t xml:space="preserve"> Fluid Name</t>
  </si>
  <si>
    <t>Pressure</t>
  </si>
  <si>
    <t>Temperature</t>
  </si>
  <si>
    <t xml:space="preserve"> Corrosion Allowance</t>
  </si>
  <si>
    <t>mm</t>
  </si>
  <si>
    <t xml:space="preserve"> Design</t>
  </si>
  <si>
    <t>M A T E R I A L S     &amp;     S I Z E</t>
  </si>
  <si>
    <t>D I M E N S I O N A L     S C H E M A T I C</t>
  </si>
  <si>
    <t xml:space="preserve"> Mat. Code</t>
  </si>
  <si>
    <t xml:space="preserve"> Shell</t>
  </si>
  <si>
    <t>t</t>
  </si>
  <si>
    <t>Q'ty</t>
  </si>
  <si>
    <t xml:space="preserve"> Stiffener</t>
  </si>
  <si>
    <t>Horiz.</t>
  </si>
  <si>
    <t>Stiffener</t>
  </si>
  <si>
    <t>Vert.</t>
  </si>
  <si>
    <t>C A L C U L A T I O N</t>
  </si>
  <si>
    <t>1.</t>
  </si>
  <si>
    <t>2.</t>
  </si>
  <si>
    <t>3.</t>
  </si>
  <si>
    <t>Flat Bar</t>
  </si>
  <si>
    <t>Minimum Required Thickness of Flat Plate ( At Center )</t>
  </si>
  <si>
    <t>Plate Deflection ( At Center )</t>
  </si>
  <si>
    <t>Design of Process Equipment</t>
  </si>
  <si>
    <t>Long</t>
  </si>
  <si>
    <t>Chapter 13 Design of Rectangular Tanks</t>
  </si>
  <si>
    <t>No. of Points</t>
  </si>
  <si>
    <t>Short</t>
  </si>
  <si>
    <t>Table 2 on Page 270</t>
  </si>
  <si>
    <t>Constants for Rectangular Plates, fixed along all edges</t>
  </si>
  <si>
    <t>&lt;-</t>
  </si>
  <si>
    <t>Constant</t>
  </si>
  <si>
    <t>Roark's Formulas for Stress and Strain</t>
  </si>
  <si>
    <t>Chapter 11 Flat Plates</t>
  </si>
  <si>
    <t>Table 11.4, 8. Rectangular Plate, all edges fixed</t>
  </si>
  <si>
    <t>Long</t>
  </si>
  <si>
    <t>Short</t>
  </si>
  <si>
    <t>α</t>
  </si>
  <si>
    <r>
      <t>β</t>
    </r>
    <r>
      <rPr>
        <b/>
        <sz val="8"/>
        <color indexed="12"/>
        <rFont val="Arial"/>
        <family val="2"/>
      </rPr>
      <t>1</t>
    </r>
  </si>
  <si>
    <r>
      <t>β</t>
    </r>
    <r>
      <rPr>
        <b/>
        <sz val="8"/>
        <color indexed="12"/>
        <rFont val="Arial"/>
        <family val="2"/>
      </rPr>
      <t>2</t>
    </r>
  </si>
  <si>
    <t>β</t>
  </si>
  <si>
    <t>α</t>
  </si>
  <si>
    <t>2016. 1. 5.</t>
  </si>
  <si>
    <t xml:space="preserve">Narai Thermal Engineering Services </t>
  </si>
  <si>
    <t xml:space="preserve"> NTES</t>
  </si>
  <si>
    <t>Minimum Required Thickness of Flat Plate ( At Center of Long Edge )</t>
  </si>
  <si>
    <t xml:space="preserve">  t</t>
  </si>
  <si>
    <t>=</t>
  </si>
  <si>
    <t>mm  used.</t>
  </si>
  <si>
    <r>
      <t xml:space="preserve"> </t>
    </r>
    <r>
      <rPr>
        <b/>
        <u val="single"/>
        <sz val="8"/>
        <rFont val="Arial"/>
        <family val="2"/>
      </rPr>
      <t>Notes</t>
    </r>
  </si>
  <si>
    <r>
      <t xml:space="preserve"> </t>
    </r>
    <r>
      <rPr>
        <b/>
        <u val="single"/>
        <sz val="8"/>
        <rFont val="Arial"/>
        <family val="2"/>
      </rPr>
      <t>Notes</t>
    </r>
  </si>
  <si>
    <t>Job No.</t>
  </si>
  <si>
    <t>J</t>
  </si>
  <si>
    <t>SC - FP - 100</t>
  </si>
  <si>
    <t>CAL - SECTP - 100</t>
  </si>
  <si>
    <t>* Note 1.</t>
  </si>
  <si>
    <t>Constant depending on the ratio a / b</t>
  </si>
  <si>
    <t>Design pressure</t>
  </si>
  <si>
    <t>Maximum allowable bending stress value</t>
  </si>
  <si>
    <t>Corrosion allowance</t>
  </si>
  <si>
    <t>Modulus of elasticity at design temp.</t>
  </si>
  <si>
    <t>Thickness of flat plate, used, corroded</t>
  </si>
  <si>
    <t>2016.   1.   19.</t>
  </si>
  <si>
    <t>2016.   1.   19.</t>
  </si>
  <si>
    <t>L 50 x 50 x 6</t>
  </si>
  <si>
    <t>A 36</t>
  </si>
  <si>
    <t>A 516-60N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</si>
</sst>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_ "/>
    <numFmt numFmtId="180" formatCode="0.000000_ "/>
    <numFmt numFmtId="181" formatCode="0.00000_ "/>
    <numFmt numFmtId="182" formatCode="0.0000_ "/>
    <numFmt numFmtId="183" formatCode="0.000_ "/>
    <numFmt numFmtId="184" formatCode="#,##0_ "/>
    <numFmt numFmtId="185" formatCode="0.0000"/>
    <numFmt numFmtId="186" formatCode="0.0"/>
    <numFmt numFmtId="187" formatCode="0.000"/>
    <numFmt numFmtId="188" formatCode="0.0000000_ "/>
  </numFmts>
  <fonts count="19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vertAlign val="superscript"/>
      <sz val="8"/>
      <name val="Arial"/>
      <family val="2"/>
    </font>
    <font>
      <b/>
      <sz val="6"/>
      <color indexed="10"/>
      <name val="Arial"/>
      <family val="2"/>
    </font>
    <font>
      <b/>
      <sz val="8"/>
      <name val="돋움"/>
      <family val="3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12"/>
      <name val="돋움"/>
      <family val="3"/>
    </font>
    <font>
      <b/>
      <u val="single"/>
      <sz val="8"/>
      <color indexed="10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177" fontId="2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1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23" xfId="0" applyFont="1" applyBorder="1" applyAlignment="1">
      <alignment/>
    </xf>
    <xf numFmtId="186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176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186" fontId="3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8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84" fontId="4" fillId="0" borderId="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4" fontId="2" fillId="0" borderId="21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84" fontId="3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4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center" vertical="center" textRotation="90"/>
    </xf>
    <xf numFmtId="184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84" fontId="2" fillId="0" borderId="0" xfId="0" applyNumberFormat="1" applyFont="1" applyBorder="1" applyAlignment="1">
      <alignment horizontal="left"/>
    </xf>
    <xf numFmtId="184" fontId="2" fillId="0" borderId="0" xfId="0" applyNumberFormat="1" applyFont="1" applyBorder="1" applyAlignment="1">
      <alignment horizontal="right"/>
    </xf>
    <xf numFmtId="184" fontId="2" fillId="0" borderId="4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4" fontId="2" fillId="0" borderId="4" xfId="0" applyNumberFormat="1" applyFont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184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12.emf" /><Relationship Id="rId5" Type="http://schemas.openxmlformats.org/officeDocument/2006/relationships/image" Target="../media/image11.emf" /><Relationship Id="rId6" Type="http://schemas.openxmlformats.org/officeDocument/2006/relationships/image" Target="../media/image9.emf" /><Relationship Id="rId7" Type="http://schemas.openxmlformats.org/officeDocument/2006/relationships/image" Target="../media/image7.emf" /><Relationship Id="rId8" Type="http://schemas.openxmlformats.org/officeDocument/2006/relationships/image" Target="../media/image10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16</xdr:row>
      <xdr:rowOff>0</xdr:rowOff>
    </xdr:from>
    <xdr:to>
      <xdr:col>26</xdr:col>
      <xdr:colOff>0</xdr:colOff>
      <xdr:row>17</xdr:row>
      <xdr:rowOff>9525</xdr:rowOff>
    </xdr:to>
    <xdr:pic>
      <xdr:nvPicPr>
        <xdr:cNvPr id="1" name="Combo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0</xdr:colOff>
      <xdr:row>16</xdr:row>
      <xdr:rowOff>0</xdr:rowOff>
    </xdr:from>
    <xdr:to>
      <xdr:col>24</xdr:col>
      <xdr:colOff>0</xdr:colOff>
      <xdr:row>17</xdr:row>
      <xdr:rowOff>9525</xdr:rowOff>
    </xdr:to>
    <xdr:pic>
      <xdr:nvPicPr>
        <xdr:cNvPr id="2" name="ComboBox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15</xdr:row>
      <xdr:rowOff>0</xdr:rowOff>
    </xdr:from>
    <xdr:to>
      <xdr:col>8</xdr:col>
      <xdr:colOff>0</xdr:colOff>
      <xdr:row>16</xdr:row>
      <xdr:rowOff>9525</xdr:rowOff>
    </xdr:to>
    <xdr:pic>
      <xdr:nvPicPr>
        <xdr:cNvPr id="3" name="ComboBox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2143125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0</xdr:colOff>
      <xdr:row>19</xdr:row>
      <xdr:rowOff>0</xdr:rowOff>
    </xdr:from>
    <xdr:to>
      <xdr:col>24</xdr:col>
      <xdr:colOff>0</xdr:colOff>
      <xdr:row>20</xdr:row>
      <xdr:rowOff>9525</xdr:rowOff>
    </xdr:to>
    <xdr:pic>
      <xdr:nvPicPr>
        <xdr:cNvPr id="4" name="ComboBox8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2714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pic>
      <xdr:nvPicPr>
        <xdr:cNvPr id="5" name="ComboBox8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22860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20</xdr:row>
      <xdr:rowOff>0</xdr:rowOff>
    </xdr:from>
    <xdr:to>
      <xdr:col>25</xdr:col>
      <xdr:colOff>0</xdr:colOff>
      <xdr:row>21</xdr:row>
      <xdr:rowOff>9525</xdr:rowOff>
    </xdr:to>
    <xdr:pic>
      <xdr:nvPicPr>
        <xdr:cNvPr id="6" name="ComboBox8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48550" y="2857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21</xdr:row>
      <xdr:rowOff>0</xdr:rowOff>
    </xdr:from>
    <xdr:to>
      <xdr:col>27</xdr:col>
      <xdr:colOff>0</xdr:colOff>
      <xdr:row>22</xdr:row>
      <xdr:rowOff>9525</xdr:rowOff>
    </xdr:to>
    <xdr:pic>
      <xdr:nvPicPr>
        <xdr:cNvPr id="7" name="ComboBox8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30003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22</xdr:row>
      <xdr:rowOff>0</xdr:rowOff>
    </xdr:from>
    <xdr:to>
      <xdr:col>25</xdr:col>
      <xdr:colOff>0</xdr:colOff>
      <xdr:row>23</xdr:row>
      <xdr:rowOff>9525</xdr:rowOff>
    </xdr:to>
    <xdr:pic>
      <xdr:nvPicPr>
        <xdr:cNvPr id="8" name="ComboBox8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48550" y="3143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23</xdr:row>
      <xdr:rowOff>0</xdr:rowOff>
    </xdr:from>
    <xdr:to>
      <xdr:col>27</xdr:col>
      <xdr:colOff>0</xdr:colOff>
      <xdr:row>24</xdr:row>
      <xdr:rowOff>9525</xdr:rowOff>
    </xdr:to>
    <xdr:pic>
      <xdr:nvPicPr>
        <xdr:cNvPr id="9" name="ComboBox8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48550" y="328612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16</xdr:row>
      <xdr:rowOff>0</xdr:rowOff>
    </xdr:from>
    <xdr:to>
      <xdr:col>19</xdr:col>
      <xdr:colOff>0</xdr:colOff>
      <xdr:row>22</xdr:row>
      <xdr:rowOff>0</xdr:rowOff>
    </xdr:to>
    <xdr:sp>
      <xdr:nvSpPr>
        <xdr:cNvPr id="10" name="Rectangle 391"/>
        <xdr:cNvSpPr>
          <a:spLocks/>
        </xdr:cNvSpPr>
      </xdr:nvSpPr>
      <xdr:spPr>
        <a:xfrm>
          <a:off x="4210050" y="2286000"/>
          <a:ext cx="1943100" cy="857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314325</xdr:colOff>
      <xdr:row>16</xdr:row>
      <xdr:rowOff>0</xdr:rowOff>
    </xdr:from>
    <xdr:to>
      <xdr:col>15</xdr:col>
      <xdr:colOff>19050</xdr:colOff>
      <xdr:row>22</xdr:row>
      <xdr:rowOff>0</xdr:rowOff>
    </xdr:to>
    <xdr:sp>
      <xdr:nvSpPr>
        <xdr:cNvPr id="11" name="Rectangle 394"/>
        <xdr:cNvSpPr>
          <a:spLocks/>
        </xdr:cNvSpPr>
      </xdr:nvSpPr>
      <xdr:spPr>
        <a:xfrm>
          <a:off x="4848225" y="2286000"/>
          <a:ext cx="285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314325</xdr:colOff>
      <xdr:row>16</xdr:row>
      <xdr:rowOff>0</xdr:rowOff>
    </xdr:from>
    <xdr:to>
      <xdr:col>17</xdr:col>
      <xdr:colOff>19050</xdr:colOff>
      <xdr:row>22</xdr:row>
      <xdr:rowOff>0</xdr:rowOff>
    </xdr:to>
    <xdr:sp>
      <xdr:nvSpPr>
        <xdr:cNvPr id="12" name="Rectangle 395"/>
        <xdr:cNvSpPr>
          <a:spLocks/>
        </xdr:cNvSpPr>
      </xdr:nvSpPr>
      <xdr:spPr>
        <a:xfrm>
          <a:off x="5495925" y="2286000"/>
          <a:ext cx="285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123825</xdr:rowOff>
    </xdr:from>
    <xdr:to>
      <xdr:col>19</xdr:col>
      <xdr:colOff>0</xdr:colOff>
      <xdr:row>18</xdr:row>
      <xdr:rowOff>19050</xdr:rowOff>
    </xdr:to>
    <xdr:sp>
      <xdr:nvSpPr>
        <xdr:cNvPr id="13" name="Rectangle 396"/>
        <xdr:cNvSpPr>
          <a:spLocks/>
        </xdr:cNvSpPr>
      </xdr:nvSpPr>
      <xdr:spPr>
        <a:xfrm>
          <a:off x="4210050" y="2552700"/>
          <a:ext cx="1943100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19</xdr:col>
      <xdr:colOff>0</xdr:colOff>
      <xdr:row>20</xdr:row>
      <xdr:rowOff>19050</xdr:rowOff>
    </xdr:to>
    <xdr:sp>
      <xdr:nvSpPr>
        <xdr:cNvPr id="14" name="Rectangle 397"/>
        <xdr:cNvSpPr>
          <a:spLocks/>
        </xdr:cNvSpPr>
      </xdr:nvSpPr>
      <xdr:spPr>
        <a:xfrm>
          <a:off x="4210050" y="2838450"/>
          <a:ext cx="1943100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5" name="Line 398"/>
        <xdr:cNvSpPr>
          <a:spLocks/>
        </xdr:cNvSpPr>
      </xdr:nvSpPr>
      <xdr:spPr>
        <a:xfrm flipV="1">
          <a:off x="4210050" y="3286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20</xdr:col>
      <xdr:colOff>0</xdr:colOff>
      <xdr:row>22</xdr:row>
      <xdr:rowOff>0</xdr:rowOff>
    </xdr:to>
    <xdr:sp>
      <xdr:nvSpPr>
        <xdr:cNvPr id="16" name="Line 399"/>
        <xdr:cNvSpPr>
          <a:spLocks/>
        </xdr:cNvSpPr>
      </xdr:nvSpPr>
      <xdr:spPr>
        <a:xfrm>
          <a:off x="6477000" y="2286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66675</xdr:rowOff>
    </xdr:from>
    <xdr:to>
      <xdr:col>13</xdr:col>
      <xdr:colOff>0</xdr:colOff>
      <xdr:row>23</xdr:row>
      <xdr:rowOff>38100</xdr:rowOff>
    </xdr:to>
    <xdr:sp>
      <xdr:nvSpPr>
        <xdr:cNvPr id="17" name="Line 400"/>
        <xdr:cNvSpPr>
          <a:spLocks/>
        </xdr:cNvSpPr>
      </xdr:nvSpPr>
      <xdr:spPr>
        <a:xfrm>
          <a:off x="4210050" y="3209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57150</xdr:rowOff>
    </xdr:from>
    <xdr:to>
      <xdr:col>19</xdr:col>
      <xdr:colOff>0</xdr:colOff>
      <xdr:row>23</xdr:row>
      <xdr:rowOff>38100</xdr:rowOff>
    </xdr:to>
    <xdr:sp>
      <xdr:nvSpPr>
        <xdr:cNvPr id="18" name="Line 401"/>
        <xdr:cNvSpPr>
          <a:spLocks/>
        </xdr:cNvSpPr>
      </xdr:nvSpPr>
      <xdr:spPr>
        <a:xfrm>
          <a:off x="6153150" y="3200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76200</xdr:colOff>
      <xdr:row>22</xdr:row>
      <xdr:rowOff>0</xdr:rowOff>
    </xdr:from>
    <xdr:to>
      <xdr:col>20</xdr:col>
      <xdr:colOff>38100</xdr:colOff>
      <xdr:row>22</xdr:row>
      <xdr:rowOff>0</xdr:rowOff>
    </xdr:to>
    <xdr:sp>
      <xdr:nvSpPr>
        <xdr:cNvPr id="19" name="Line 402"/>
        <xdr:cNvSpPr>
          <a:spLocks/>
        </xdr:cNvSpPr>
      </xdr:nvSpPr>
      <xdr:spPr>
        <a:xfrm>
          <a:off x="6229350" y="3143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76200</xdr:colOff>
      <xdr:row>16</xdr:row>
      <xdr:rowOff>0</xdr:rowOff>
    </xdr:from>
    <xdr:to>
      <xdr:col>20</xdr:col>
      <xdr:colOff>38100</xdr:colOff>
      <xdr:row>16</xdr:row>
      <xdr:rowOff>0</xdr:rowOff>
    </xdr:to>
    <xdr:sp>
      <xdr:nvSpPr>
        <xdr:cNvPr id="20" name="Line 403"/>
        <xdr:cNvSpPr>
          <a:spLocks/>
        </xdr:cNvSpPr>
      </xdr:nvSpPr>
      <xdr:spPr>
        <a:xfrm>
          <a:off x="6229350" y="2286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219075</xdr:colOff>
      <xdr:row>18</xdr:row>
      <xdr:rowOff>0</xdr:rowOff>
    </xdr:from>
    <xdr:to>
      <xdr:col>14</xdr:col>
      <xdr:colOff>219075</xdr:colOff>
      <xdr:row>20</xdr:row>
      <xdr:rowOff>0</xdr:rowOff>
    </xdr:to>
    <xdr:sp>
      <xdr:nvSpPr>
        <xdr:cNvPr id="21" name="Line 405"/>
        <xdr:cNvSpPr>
          <a:spLocks/>
        </xdr:cNvSpPr>
      </xdr:nvSpPr>
      <xdr:spPr>
        <a:xfrm>
          <a:off x="4752975" y="2571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2" name="Line 406"/>
        <xdr:cNvSpPr>
          <a:spLocks/>
        </xdr:cNvSpPr>
      </xdr:nvSpPr>
      <xdr:spPr>
        <a:xfrm>
          <a:off x="4857750" y="2428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27</xdr:row>
      <xdr:rowOff>0</xdr:rowOff>
    </xdr:from>
    <xdr:to>
      <xdr:col>6</xdr:col>
      <xdr:colOff>0</xdr:colOff>
      <xdr:row>29</xdr:row>
      <xdr:rowOff>0</xdr:rowOff>
    </xdr:to>
    <xdr:grpSp>
      <xdr:nvGrpSpPr>
        <xdr:cNvPr id="23" name="Group 416"/>
        <xdr:cNvGrpSpPr>
          <a:grpSpLocks/>
        </xdr:cNvGrpSpPr>
      </xdr:nvGrpSpPr>
      <xdr:grpSpPr>
        <a:xfrm>
          <a:off x="1495425" y="3857625"/>
          <a:ext cx="447675" cy="285750"/>
          <a:chOff x="157" y="390"/>
          <a:chExt cx="47" cy="30"/>
        </a:xfrm>
        <a:solidFill>
          <a:srgbClr val="FFFFFF"/>
        </a:solidFill>
      </xdr:grpSpPr>
      <xdr:sp>
        <xdr:nvSpPr>
          <xdr:cNvPr id="24" name="Line 412"/>
          <xdr:cNvSpPr>
            <a:spLocks/>
          </xdr:cNvSpPr>
        </xdr:nvSpPr>
        <xdr:spPr>
          <a:xfrm>
            <a:off x="170" y="39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413"/>
          <xdr:cNvSpPr>
            <a:spLocks/>
          </xdr:cNvSpPr>
        </xdr:nvSpPr>
        <xdr:spPr>
          <a:xfrm flipV="1">
            <a:off x="160" y="390"/>
            <a:ext cx="1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Line 414"/>
          <xdr:cNvSpPr>
            <a:spLocks/>
          </xdr:cNvSpPr>
        </xdr:nvSpPr>
        <xdr:spPr>
          <a:xfrm flipH="1" flipV="1">
            <a:off x="157" y="4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0</xdr:rowOff>
    </xdr:from>
    <xdr:to>
      <xdr:col>14</xdr:col>
      <xdr:colOff>0</xdr:colOff>
      <xdr:row>29</xdr:row>
      <xdr:rowOff>0</xdr:rowOff>
    </xdr:to>
    <xdr:grpSp>
      <xdr:nvGrpSpPr>
        <xdr:cNvPr id="27" name="Group 424"/>
        <xdr:cNvGrpSpPr>
          <a:grpSpLocks/>
        </xdr:cNvGrpSpPr>
      </xdr:nvGrpSpPr>
      <xdr:grpSpPr>
        <a:xfrm>
          <a:off x="3114675" y="3857625"/>
          <a:ext cx="1419225" cy="285750"/>
          <a:chOff x="327" y="390"/>
          <a:chExt cx="149" cy="30"/>
        </a:xfrm>
        <a:solidFill>
          <a:srgbClr val="FFFFFF"/>
        </a:solidFill>
      </xdr:grpSpPr>
      <xdr:sp>
        <xdr:nvSpPr>
          <xdr:cNvPr id="28" name="Line 418"/>
          <xdr:cNvSpPr>
            <a:spLocks/>
          </xdr:cNvSpPr>
        </xdr:nvSpPr>
        <xdr:spPr>
          <a:xfrm>
            <a:off x="340" y="390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419"/>
          <xdr:cNvSpPr>
            <a:spLocks/>
          </xdr:cNvSpPr>
        </xdr:nvSpPr>
        <xdr:spPr>
          <a:xfrm flipV="1">
            <a:off x="330" y="390"/>
            <a:ext cx="1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420"/>
          <xdr:cNvSpPr>
            <a:spLocks/>
          </xdr:cNvSpPr>
        </xdr:nvSpPr>
        <xdr:spPr>
          <a:xfrm flipH="1" flipV="1">
            <a:off x="327" y="4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24</xdr:col>
      <xdr:colOff>0</xdr:colOff>
      <xdr:row>11</xdr:row>
      <xdr:rowOff>0</xdr:rowOff>
    </xdr:from>
    <xdr:to>
      <xdr:col>25</xdr:col>
      <xdr:colOff>180975</xdr:colOff>
      <xdr:row>12</xdr:row>
      <xdr:rowOff>9525</xdr:rowOff>
    </xdr:to>
    <xdr:pic>
      <xdr:nvPicPr>
        <xdr:cNvPr id="31" name="ComboBox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72400" y="15716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10</xdr:row>
      <xdr:rowOff>0</xdr:rowOff>
    </xdr:from>
    <xdr:to>
      <xdr:col>26</xdr:col>
      <xdr:colOff>0</xdr:colOff>
      <xdr:row>11</xdr:row>
      <xdr:rowOff>19050</xdr:rowOff>
    </xdr:to>
    <xdr:pic>
      <xdr:nvPicPr>
        <xdr:cNvPr id="32" name="ComboBox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72400" y="142875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219075</xdr:colOff>
      <xdr:row>20</xdr:row>
      <xdr:rowOff>0</xdr:rowOff>
    </xdr:from>
    <xdr:to>
      <xdr:col>14</xdr:col>
      <xdr:colOff>219075</xdr:colOff>
      <xdr:row>22</xdr:row>
      <xdr:rowOff>0</xdr:rowOff>
    </xdr:to>
    <xdr:sp>
      <xdr:nvSpPr>
        <xdr:cNvPr id="33" name="Line 426"/>
        <xdr:cNvSpPr>
          <a:spLocks/>
        </xdr:cNvSpPr>
      </xdr:nvSpPr>
      <xdr:spPr>
        <a:xfrm>
          <a:off x="4752975" y="2857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34" name="Line 429"/>
        <xdr:cNvSpPr>
          <a:spLocks/>
        </xdr:cNvSpPr>
      </xdr:nvSpPr>
      <xdr:spPr>
        <a:xfrm>
          <a:off x="5505450" y="2428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50</xdr:row>
      <xdr:rowOff>0</xdr:rowOff>
    </xdr:from>
    <xdr:to>
      <xdr:col>6</xdr:col>
      <xdr:colOff>0</xdr:colOff>
      <xdr:row>52</xdr:row>
      <xdr:rowOff>0</xdr:rowOff>
    </xdr:to>
    <xdr:grpSp>
      <xdr:nvGrpSpPr>
        <xdr:cNvPr id="35" name="Group 430"/>
        <xdr:cNvGrpSpPr>
          <a:grpSpLocks/>
        </xdr:cNvGrpSpPr>
      </xdr:nvGrpSpPr>
      <xdr:grpSpPr>
        <a:xfrm>
          <a:off x="1495425" y="7143750"/>
          <a:ext cx="447675" cy="285750"/>
          <a:chOff x="157" y="390"/>
          <a:chExt cx="47" cy="30"/>
        </a:xfrm>
        <a:solidFill>
          <a:srgbClr val="FFFFFF"/>
        </a:solidFill>
      </xdr:grpSpPr>
      <xdr:sp>
        <xdr:nvSpPr>
          <xdr:cNvPr id="36" name="Line 431"/>
          <xdr:cNvSpPr>
            <a:spLocks/>
          </xdr:cNvSpPr>
        </xdr:nvSpPr>
        <xdr:spPr>
          <a:xfrm>
            <a:off x="170" y="39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432"/>
          <xdr:cNvSpPr>
            <a:spLocks/>
          </xdr:cNvSpPr>
        </xdr:nvSpPr>
        <xdr:spPr>
          <a:xfrm flipV="1">
            <a:off x="160" y="390"/>
            <a:ext cx="1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433"/>
          <xdr:cNvSpPr>
            <a:spLocks/>
          </xdr:cNvSpPr>
        </xdr:nvSpPr>
        <xdr:spPr>
          <a:xfrm flipH="1" flipV="1">
            <a:off x="157" y="4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50</xdr:row>
      <xdr:rowOff>0</xdr:rowOff>
    </xdr:from>
    <xdr:to>
      <xdr:col>14</xdr:col>
      <xdr:colOff>0</xdr:colOff>
      <xdr:row>52</xdr:row>
      <xdr:rowOff>0</xdr:rowOff>
    </xdr:to>
    <xdr:grpSp>
      <xdr:nvGrpSpPr>
        <xdr:cNvPr id="39" name="Group 434"/>
        <xdr:cNvGrpSpPr>
          <a:grpSpLocks/>
        </xdr:cNvGrpSpPr>
      </xdr:nvGrpSpPr>
      <xdr:grpSpPr>
        <a:xfrm>
          <a:off x="3114675" y="7143750"/>
          <a:ext cx="1419225" cy="285750"/>
          <a:chOff x="327" y="390"/>
          <a:chExt cx="149" cy="30"/>
        </a:xfrm>
        <a:solidFill>
          <a:srgbClr val="FFFFFF"/>
        </a:solidFill>
      </xdr:grpSpPr>
      <xdr:sp>
        <xdr:nvSpPr>
          <xdr:cNvPr id="40" name="Line 435"/>
          <xdr:cNvSpPr>
            <a:spLocks/>
          </xdr:cNvSpPr>
        </xdr:nvSpPr>
        <xdr:spPr>
          <a:xfrm>
            <a:off x="340" y="390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36"/>
          <xdr:cNvSpPr>
            <a:spLocks/>
          </xdr:cNvSpPr>
        </xdr:nvSpPr>
        <xdr:spPr>
          <a:xfrm flipV="1">
            <a:off x="330" y="390"/>
            <a:ext cx="1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437"/>
          <xdr:cNvSpPr>
            <a:spLocks/>
          </xdr:cNvSpPr>
        </xdr:nvSpPr>
        <xdr:spPr>
          <a:xfrm flipH="1" flipV="1">
            <a:off x="327" y="4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58</xdr:row>
      <xdr:rowOff>0</xdr:rowOff>
    </xdr:from>
    <xdr:to>
      <xdr:col>5</xdr:col>
      <xdr:colOff>0</xdr:colOff>
      <xdr:row>60</xdr:row>
      <xdr:rowOff>0</xdr:rowOff>
    </xdr:to>
    <xdr:grpSp>
      <xdr:nvGrpSpPr>
        <xdr:cNvPr id="43" name="Group 472"/>
        <xdr:cNvGrpSpPr>
          <a:grpSpLocks/>
        </xdr:cNvGrpSpPr>
      </xdr:nvGrpSpPr>
      <xdr:grpSpPr>
        <a:xfrm>
          <a:off x="1171575" y="8286750"/>
          <a:ext cx="447675" cy="285750"/>
          <a:chOff x="157" y="390"/>
          <a:chExt cx="47" cy="30"/>
        </a:xfrm>
        <a:solidFill>
          <a:srgbClr val="FFFFFF"/>
        </a:solidFill>
      </xdr:grpSpPr>
      <xdr:sp>
        <xdr:nvSpPr>
          <xdr:cNvPr id="44" name="Line 473"/>
          <xdr:cNvSpPr>
            <a:spLocks/>
          </xdr:cNvSpPr>
        </xdr:nvSpPr>
        <xdr:spPr>
          <a:xfrm>
            <a:off x="170" y="39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Line 474"/>
          <xdr:cNvSpPr>
            <a:spLocks/>
          </xdr:cNvSpPr>
        </xdr:nvSpPr>
        <xdr:spPr>
          <a:xfrm flipV="1">
            <a:off x="160" y="390"/>
            <a:ext cx="1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Line 475"/>
          <xdr:cNvSpPr>
            <a:spLocks/>
          </xdr:cNvSpPr>
        </xdr:nvSpPr>
        <xdr:spPr>
          <a:xfrm flipH="1" flipV="1">
            <a:off x="157" y="4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58</xdr:row>
      <xdr:rowOff>0</xdr:rowOff>
    </xdr:from>
    <xdr:to>
      <xdr:col>11</xdr:col>
      <xdr:colOff>0</xdr:colOff>
      <xdr:row>60</xdr:row>
      <xdr:rowOff>0</xdr:rowOff>
    </xdr:to>
    <xdr:grpSp>
      <xdr:nvGrpSpPr>
        <xdr:cNvPr id="47" name="Group 476"/>
        <xdr:cNvGrpSpPr>
          <a:grpSpLocks/>
        </xdr:cNvGrpSpPr>
      </xdr:nvGrpSpPr>
      <xdr:grpSpPr>
        <a:xfrm>
          <a:off x="2143125" y="8286750"/>
          <a:ext cx="1419225" cy="285750"/>
          <a:chOff x="327" y="390"/>
          <a:chExt cx="149" cy="30"/>
        </a:xfrm>
        <a:solidFill>
          <a:srgbClr val="FFFFFF"/>
        </a:solidFill>
      </xdr:grpSpPr>
      <xdr:sp>
        <xdr:nvSpPr>
          <xdr:cNvPr id="48" name="Line 477"/>
          <xdr:cNvSpPr>
            <a:spLocks/>
          </xdr:cNvSpPr>
        </xdr:nvSpPr>
        <xdr:spPr>
          <a:xfrm>
            <a:off x="340" y="390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Line 478"/>
          <xdr:cNvSpPr>
            <a:spLocks/>
          </xdr:cNvSpPr>
        </xdr:nvSpPr>
        <xdr:spPr>
          <a:xfrm flipV="1">
            <a:off x="330" y="390"/>
            <a:ext cx="1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Line 479"/>
          <xdr:cNvSpPr>
            <a:spLocks/>
          </xdr:cNvSpPr>
        </xdr:nvSpPr>
        <xdr:spPr>
          <a:xfrm flipH="1" flipV="1">
            <a:off x="327" y="4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37</xdr:row>
      <xdr:rowOff>0</xdr:rowOff>
    </xdr:from>
    <xdr:to>
      <xdr:col>6</xdr:col>
      <xdr:colOff>0</xdr:colOff>
      <xdr:row>39</xdr:row>
      <xdr:rowOff>0</xdr:rowOff>
    </xdr:to>
    <xdr:grpSp>
      <xdr:nvGrpSpPr>
        <xdr:cNvPr id="51" name="Group 498"/>
        <xdr:cNvGrpSpPr>
          <a:grpSpLocks/>
        </xdr:cNvGrpSpPr>
      </xdr:nvGrpSpPr>
      <xdr:grpSpPr>
        <a:xfrm>
          <a:off x="1495425" y="5286375"/>
          <a:ext cx="447675" cy="285750"/>
          <a:chOff x="157" y="390"/>
          <a:chExt cx="47" cy="30"/>
        </a:xfrm>
        <a:solidFill>
          <a:srgbClr val="FFFFFF"/>
        </a:solidFill>
      </xdr:grpSpPr>
      <xdr:sp>
        <xdr:nvSpPr>
          <xdr:cNvPr id="52" name="Line 24"/>
          <xdr:cNvSpPr>
            <a:spLocks/>
          </xdr:cNvSpPr>
        </xdr:nvSpPr>
        <xdr:spPr>
          <a:xfrm>
            <a:off x="170" y="39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Line 25"/>
          <xdr:cNvSpPr>
            <a:spLocks/>
          </xdr:cNvSpPr>
        </xdr:nvSpPr>
        <xdr:spPr>
          <a:xfrm flipV="1">
            <a:off x="160" y="390"/>
            <a:ext cx="1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Line 26"/>
          <xdr:cNvSpPr>
            <a:spLocks/>
          </xdr:cNvSpPr>
        </xdr:nvSpPr>
        <xdr:spPr>
          <a:xfrm flipH="1" flipV="1">
            <a:off x="157" y="4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37</xdr:row>
      <xdr:rowOff>0</xdr:rowOff>
    </xdr:from>
    <xdr:to>
      <xdr:col>14</xdr:col>
      <xdr:colOff>0</xdr:colOff>
      <xdr:row>39</xdr:row>
      <xdr:rowOff>0</xdr:rowOff>
    </xdr:to>
    <xdr:grpSp>
      <xdr:nvGrpSpPr>
        <xdr:cNvPr id="55" name="Group 502"/>
        <xdr:cNvGrpSpPr>
          <a:grpSpLocks/>
        </xdr:cNvGrpSpPr>
      </xdr:nvGrpSpPr>
      <xdr:grpSpPr>
        <a:xfrm>
          <a:off x="3114675" y="5286375"/>
          <a:ext cx="1419225" cy="285750"/>
          <a:chOff x="327" y="390"/>
          <a:chExt cx="149" cy="30"/>
        </a:xfrm>
        <a:solidFill>
          <a:srgbClr val="FFFFFF"/>
        </a:solidFill>
      </xdr:grpSpPr>
      <xdr:sp>
        <xdr:nvSpPr>
          <xdr:cNvPr id="56" name="Line 28"/>
          <xdr:cNvSpPr>
            <a:spLocks/>
          </xdr:cNvSpPr>
        </xdr:nvSpPr>
        <xdr:spPr>
          <a:xfrm>
            <a:off x="340" y="390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7" name="Line 29"/>
          <xdr:cNvSpPr>
            <a:spLocks/>
          </xdr:cNvSpPr>
        </xdr:nvSpPr>
        <xdr:spPr>
          <a:xfrm flipV="1">
            <a:off x="330" y="390"/>
            <a:ext cx="1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Line 30"/>
          <xdr:cNvSpPr>
            <a:spLocks/>
          </xdr:cNvSpPr>
        </xdr:nvSpPr>
        <xdr:spPr>
          <a:xfrm flipH="1" flipV="1">
            <a:off x="327" y="4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0</xdr:rowOff>
    </xdr:from>
    <xdr:to>
      <xdr:col>19</xdr:col>
      <xdr:colOff>0</xdr:colOff>
      <xdr:row>22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4210050" y="2286000"/>
          <a:ext cx="1943100" cy="857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314325</xdr:colOff>
      <xdr:row>16</xdr:row>
      <xdr:rowOff>0</xdr:rowOff>
    </xdr:from>
    <xdr:to>
      <xdr:col>15</xdr:col>
      <xdr:colOff>19050</xdr:colOff>
      <xdr:row>22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4848225" y="2286000"/>
          <a:ext cx="285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314325</xdr:colOff>
      <xdr:row>16</xdr:row>
      <xdr:rowOff>0</xdr:rowOff>
    </xdr:from>
    <xdr:to>
      <xdr:col>17</xdr:col>
      <xdr:colOff>19050</xdr:colOff>
      <xdr:row>22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5495925" y="2286000"/>
          <a:ext cx="285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123825</xdr:rowOff>
    </xdr:from>
    <xdr:to>
      <xdr:col>19</xdr:col>
      <xdr:colOff>0</xdr:colOff>
      <xdr:row>18</xdr:row>
      <xdr:rowOff>19050</xdr:rowOff>
    </xdr:to>
    <xdr:sp>
      <xdr:nvSpPr>
        <xdr:cNvPr id="4" name="Rectangle 13"/>
        <xdr:cNvSpPr>
          <a:spLocks/>
        </xdr:cNvSpPr>
      </xdr:nvSpPr>
      <xdr:spPr>
        <a:xfrm>
          <a:off x="4210050" y="2552700"/>
          <a:ext cx="1943100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19</xdr:col>
      <xdr:colOff>0</xdr:colOff>
      <xdr:row>20</xdr:row>
      <xdr:rowOff>19050</xdr:rowOff>
    </xdr:to>
    <xdr:sp>
      <xdr:nvSpPr>
        <xdr:cNvPr id="5" name="Rectangle 14"/>
        <xdr:cNvSpPr>
          <a:spLocks/>
        </xdr:cNvSpPr>
      </xdr:nvSpPr>
      <xdr:spPr>
        <a:xfrm>
          <a:off x="4210050" y="2838450"/>
          <a:ext cx="1943100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6" name="Line 15"/>
        <xdr:cNvSpPr>
          <a:spLocks/>
        </xdr:cNvSpPr>
      </xdr:nvSpPr>
      <xdr:spPr>
        <a:xfrm flipV="1">
          <a:off x="4210050" y="3286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20</xdr:col>
      <xdr:colOff>0</xdr:colOff>
      <xdr:row>22</xdr:row>
      <xdr:rowOff>0</xdr:rowOff>
    </xdr:to>
    <xdr:sp>
      <xdr:nvSpPr>
        <xdr:cNvPr id="7" name="Line 16"/>
        <xdr:cNvSpPr>
          <a:spLocks/>
        </xdr:cNvSpPr>
      </xdr:nvSpPr>
      <xdr:spPr>
        <a:xfrm>
          <a:off x="6477000" y="2286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66675</xdr:rowOff>
    </xdr:from>
    <xdr:to>
      <xdr:col>13</xdr:col>
      <xdr:colOff>0</xdr:colOff>
      <xdr:row>23</xdr:row>
      <xdr:rowOff>38100</xdr:rowOff>
    </xdr:to>
    <xdr:sp>
      <xdr:nvSpPr>
        <xdr:cNvPr id="8" name="Line 17"/>
        <xdr:cNvSpPr>
          <a:spLocks/>
        </xdr:cNvSpPr>
      </xdr:nvSpPr>
      <xdr:spPr>
        <a:xfrm>
          <a:off x="4210050" y="3209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57150</xdr:rowOff>
    </xdr:from>
    <xdr:to>
      <xdr:col>19</xdr:col>
      <xdr:colOff>0</xdr:colOff>
      <xdr:row>23</xdr:row>
      <xdr:rowOff>38100</xdr:rowOff>
    </xdr:to>
    <xdr:sp>
      <xdr:nvSpPr>
        <xdr:cNvPr id="9" name="Line 18"/>
        <xdr:cNvSpPr>
          <a:spLocks/>
        </xdr:cNvSpPr>
      </xdr:nvSpPr>
      <xdr:spPr>
        <a:xfrm>
          <a:off x="6153150" y="3200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76200</xdr:colOff>
      <xdr:row>22</xdr:row>
      <xdr:rowOff>0</xdr:rowOff>
    </xdr:from>
    <xdr:to>
      <xdr:col>20</xdr:col>
      <xdr:colOff>38100</xdr:colOff>
      <xdr:row>22</xdr:row>
      <xdr:rowOff>0</xdr:rowOff>
    </xdr:to>
    <xdr:sp>
      <xdr:nvSpPr>
        <xdr:cNvPr id="10" name="Line 19"/>
        <xdr:cNvSpPr>
          <a:spLocks/>
        </xdr:cNvSpPr>
      </xdr:nvSpPr>
      <xdr:spPr>
        <a:xfrm>
          <a:off x="6229350" y="3143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76200</xdr:colOff>
      <xdr:row>16</xdr:row>
      <xdr:rowOff>0</xdr:rowOff>
    </xdr:from>
    <xdr:to>
      <xdr:col>20</xdr:col>
      <xdr:colOff>38100</xdr:colOff>
      <xdr:row>16</xdr:row>
      <xdr:rowOff>0</xdr:rowOff>
    </xdr:to>
    <xdr:sp>
      <xdr:nvSpPr>
        <xdr:cNvPr id="11" name="Line 20"/>
        <xdr:cNvSpPr>
          <a:spLocks/>
        </xdr:cNvSpPr>
      </xdr:nvSpPr>
      <xdr:spPr>
        <a:xfrm>
          <a:off x="6229350" y="2286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219075</xdr:colOff>
      <xdr:row>18</xdr:row>
      <xdr:rowOff>0</xdr:rowOff>
    </xdr:from>
    <xdr:to>
      <xdr:col>14</xdr:col>
      <xdr:colOff>219075</xdr:colOff>
      <xdr:row>20</xdr:row>
      <xdr:rowOff>0</xdr:rowOff>
    </xdr:to>
    <xdr:sp>
      <xdr:nvSpPr>
        <xdr:cNvPr id="12" name="Line 21"/>
        <xdr:cNvSpPr>
          <a:spLocks/>
        </xdr:cNvSpPr>
      </xdr:nvSpPr>
      <xdr:spPr>
        <a:xfrm>
          <a:off x="4752975" y="2571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13" name="Line 22"/>
        <xdr:cNvSpPr>
          <a:spLocks/>
        </xdr:cNvSpPr>
      </xdr:nvSpPr>
      <xdr:spPr>
        <a:xfrm>
          <a:off x="4857750" y="2428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219075</xdr:colOff>
      <xdr:row>20</xdr:row>
      <xdr:rowOff>0</xdr:rowOff>
    </xdr:from>
    <xdr:to>
      <xdr:col>14</xdr:col>
      <xdr:colOff>219075</xdr:colOff>
      <xdr:row>22</xdr:row>
      <xdr:rowOff>0</xdr:rowOff>
    </xdr:to>
    <xdr:sp>
      <xdr:nvSpPr>
        <xdr:cNvPr id="14" name="Line 33"/>
        <xdr:cNvSpPr>
          <a:spLocks/>
        </xdr:cNvSpPr>
      </xdr:nvSpPr>
      <xdr:spPr>
        <a:xfrm>
          <a:off x="4752975" y="2857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15" name="Line 34"/>
        <xdr:cNvSpPr>
          <a:spLocks/>
        </xdr:cNvSpPr>
      </xdr:nvSpPr>
      <xdr:spPr>
        <a:xfrm>
          <a:off x="5505450" y="2428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152400</xdr:colOff>
      <xdr:row>53</xdr:row>
      <xdr:rowOff>0</xdr:rowOff>
    </xdr:from>
    <xdr:to>
      <xdr:col>19</xdr:col>
      <xdr:colOff>0</xdr:colOff>
      <xdr:row>54</xdr:row>
      <xdr:rowOff>0</xdr:rowOff>
    </xdr:to>
    <xdr:sp>
      <xdr:nvSpPr>
        <xdr:cNvPr id="16" name="Rectangle 117"/>
        <xdr:cNvSpPr>
          <a:spLocks/>
        </xdr:cNvSpPr>
      </xdr:nvSpPr>
      <xdr:spPr>
        <a:xfrm>
          <a:off x="5010150" y="7572375"/>
          <a:ext cx="114300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104775</xdr:colOff>
      <xdr:row>53</xdr:row>
      <xdr:rowOff>76200</xdr:rowOff>
    </xdr:from>
    <xdr:to>
      <xdr:col>19</xdr:col>
      <xdr:colOff>0</xdr:colOff>
      <xdr:row>53</xdr:row>
      <xdr:rowOff>76200</xdr:rowOff>
    </xdr:to>
    <xdr:sp>
      <xdr:nvSpPr>
        <xdr:cNvPr id="17" name="Line 118"/>
        <xdr:cNvSpPr>
          <a:spLocks/>
        </xdr:cNvSpPr>
      </xdr:nvSpPr>
      <xdr:spPr>
        <a:xfrm>
          <a:off x="4962525" y="7648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161925</xdr:colOff>
      <xdr:row>52</xdr:row>
      <xdr:rowOff>0</xdr:rowOff>
    </xdr:from>
    <xdr:to>
      <xdr:col>19</xdr:col>
      <xdr:colOff>0</xdr:colOff>
      <xdr:row>52</xdr:row>
      <xdr:rowOff>0</xdr:rowOff>
    </xdr:to>
    <xdr:sp>
      <xdr:nvSpPr>
        <xdr:cNvPr id="18" name="Line 119"/>
        <xdr:cNvSpPr>
          <a:spLocks/>
        </xdr:cNvSpPr>
      </xdr:nvSpPr>
      <xdr:spPr>
        <a:xfrm>
          <a:off x="5019675" y="74295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285750</xdr:colOff>
      <xdr:row>53</xdr:row>
      <xdr:rowOff>0</xdr:rowOff>
    </xdr:from>
    <xdr:to>
      <xdr:col>19</xdr:col>
      <xdr:colOff>285750</xdr:colOff>
      <xdr:row>54</xdr:row>
      <xdr:rowOff>0</xdr:rowOff>
    </xdr:to>
    <xdr:sp>
      <xdr:nvSpPr>
        <xdr:cNvPr id="19" name="Line 120"/>
        <xdr:cNvSpPr>
          <a:spLocks/>
        </xdr:cNvSpPr>
      </xdr:nvSpPr>
      <xdr:spPr>
        <a:xfrm>
          <a:off x="6438900" y="7572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152400</xdr:colOff>
      <xdr:row>51</xdr:row>
      <xdr:rowOff>95250</xdr:rowOff>
    </xdr:from>
    <xdr:to>
      <xdr:col>15</xdr:col>
      <xdr:colOff>152400</xdr:colOff>
      <xdr:row>52</xdr:row>
      <xdr:rowOff>76200</xdr:rowOff>
    </xdr:to>
    <xdr:sp>
      <xdr:nvSpPr>
        <xdr:cNvPr id="20" name="Line 121"/>
        <xdr:cNvSpPr>
          <a:spLocks/>
        </xdr:cNvSpPr>
      </xdr:nvSpPr>
      <xdr:spPr>
        <a:xfrm flipV="1">
          <a:off x="5010150" y="7381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95250</xdr:rowOff>
    </xdr:from>
    <xdr:to>
      <xdr:col>19</xdr:col>
      <xdr:colOff>0</xdr:colOff>
      <xdr:row>52</xdr:row>
      <xdr:rowOff>85725</xdr:rowOff>
    </xdr:to>
    <xdr:sp>
      <xdr:nvSpPr>
        <xdr:cNvPr id="21" name="Line 122"/>
        <xdr:cNvSpPr>
          <a:spLocks/>
        </xdr:cNvSpPr>
      </xdr:nvSpPr>
      <xdr:spPr>
        <a:xfrm flipV="1">
          <a:off x="6153150" y="7381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95250</xdr:colOff>
      <xdr:row>53</xdr:row>
      <xdr:rowOff>0</xdr:rowOff>
    </xdr:from>
    <xdr:to>
      <xdr:col>20</xdr:col>
      <xdr:colOff>0</xdr:colOff>
      <xdr:row>53</xdr:row>
      <xdr:rowOff>0</xdr:rowOff>
    </xdr:to>
    <xdr:sp>
      <xdr:nvSpPr>
        <xdr:cNvPr id="22" name="Line 123"/>
        <xdr:cNvSpPr>
          <a:spLocks/>
        </xdr:cNvSpPr>
      </xdr:nvSpPr>
      <xdr:spPr>
        <a:xfrm>
          <a:off x="6248400" y="75723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95250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23" name="Line 124"/>
        <xdr:cNvSpPr>
          <a:spLocks/>
        </xdr:cNvSpPr>
      </xdr:nvSpPr>
      <xdr:spPr>
        <a:xfrm>
          <a:off x="6248400" y="7715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133350</xdr:colOff>
      <xdr:row>57</xdr:row>
      <xdr:rowOff>0</xdr:rowOff>
    </xdr:from>
    <xdr:to>
      <xdr:col>19</xdr:col>
      <xdr:colOff>28575</xdr:colOff>
      <xdr:row>57</xdr:row>
      <xdr:rowOff>0</xdr:rowOff>
    </xdr:to>
    <xdr:sp>
      <xdr:nvSpPr>
        <xdr:cNvPr id="24" name="Line 142"/>
        <xdr:cNvSpPr>
          <a:spLocks/>
        </xdr:cNvSpPr>
      </xdr:nvSpPr>
      <xdr:spPr>
        <a:xfrm>
          <a:off x="5638800" y="8143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57</xdr:row>
      <xdr:rowOff>0</xdr:rowOff>
    </xdr:to>
    <xdr:sp>
      <xdr:nvSpPr>
        <xdr:cNvPr id="25" name="Line 143"/>
        <xdr:cNvSpPr>
          <a:spLocks/>
        </xdr:cNvSpPr>
      </xdr:nvSpPr>
      <xdr:spPr>
        <a:xfrm>
          <a:off x="6153150" y="771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285750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26" name="Line 144"/>
        <xdr:cNvSpPr>
          <a:spLocks/>
        </xdr:cNvSpPr>
      </xdr:nvSpPr>
      <xdr:spPr>
        <a:xfrm>
          <a:off x="4819650" y="78581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295275</xdr:colOff>
      <xdr:row>57</xdr:row>
      <xdr:rowOff>0</xdr:rowOff>
    </xdr:from>
    <xdr:to>
      <xdr:col>16</xdr:col>
      <xdr:colOff>190500</xdr:colOff>
      <xdr:row>57</xdr:row>
      <xdr:rowOff>0</xdr:rowOff>
    </xdr:to>
    <xdr:sp>
      <xdr:nvSpPr>
        <xdr:cNvPr id="27" name="Line 145"/>
        <xdr:cNvSpPr>
          <a:spLocks/>
        </xdr:cNvSpPr>
      </xdr:nvSpPr>
      <xdr:spPr>
        <a:xfrm>
          <a:off x="4829175" y="8143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285750</xdr:colOff>
      <xdr:row>53</xdr:row>
      <xdr:rowOff>0</xdr:rowOff>
    </xdr:from>
    <xdr:to>
      <xdr:col>15</xdr:col>
      <xdr:colOff>76200</xdr:colOff>
      <xdr:row>53</xdr:row>
      <xdr:rowOff>0</xdr:rowOff>
    </xdr:to>
    <xdr:sp>
      <xdr:nvSpPr>
        <xdr:cNvPr id="28" name="Line 146"/>
        <xdr:cNvSpPr>
          <a:spLocks/>
        </xdr:cNvSpPr>
      </xdr:nvSpPr>
      <xdr:spPr>
        <a:xfrm>
          <a:off x="4819650" y="7572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55</xdr:row>
      <xdr:rowOff>0</xdr:rowOff>
    </xdr:to>
    <xdr:sp>
      <xdr:nvSpPr>
        <xdr:cNvPr id="29" name="Line 147"/>
        <xdr:cNvSpPr>
          <a:spLocks/>
        </xdr:cNvSpPr>
      </xdr:nvSpPr>
      <xdr:spPr>
        <a:xfrm>
          <a:off x="4857750" y="7572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15</xdr:col>
      <xdr:colOff>0</xdr:colOff>
      <xdr:row>57</xdr:row>
      <xdr:rowOff>0</xdr:rowOff>
    </xdr:to>
    <xdr:sp>
      <xdr:nvSpPr>
        <xdr:cNvPr id="30" name="Line 148"/>
        <xdr:cNvSpPr>
          <a:spLocks/>
        </xdr:cNvSpPr>
      </xdr:nvSpPr>
      <xdr:spPr>
        <a:xfrm>
          <a:off x="4857750" y="7858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85725</xdr:colOff>
      <xdr:row>54</xdr:row>
      <xdr:rowOff>0</xdr:rowOff>
    </xdr:from>
    <xdr:to>
      <xdr:col>19</xdr:col>
      <xdr:colOff>76200</xdr:colOff>
      <xdr:row>55</xdr:row>
      <xdr:rowOff>0</xdr:rowOff>
    </xdr:to>
    <xdr:sp>
      <xdr:nvSpPr>
        <xdr:cNvPr id="31" name="Rectangle 149"/>
        <xdr:cNvSpPr>
          <a:spLocks/>
        </xdr:cNvSpPr>
      </xdr:nvSpPr>
      <xdr:spPr>
        <a:xfrm>
          <a:off x="4943475" y="7715250"/>
          <a:ext cx="1285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C.G. of Combined Sect.</a:t>
          </a:r>
        </a:p>
      </xdr:txBody>
    </xdr:sp>
    <xdr:clientData/>
  </xdr:twoCellAnchor>
  <xdr:twoCellAnchor>
    <xdr:from>
      <xdr:col>15</xdr:col>
      <xdr:colOff>152400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32" name="Rectangle 150"/>
        <xdr:cNvSpPr>
          <a:spLocks/>
        </xdr:cNvSpPr>
      </xdr:nvSpPr>
      <xdr:spPr>
        <a:xfrm>
          <a:off x="5010150" y="5143500"/>
          <a:ext cx="114300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104775</xdr:colOff>
      <xdr:row>36</xdr:row>
      <xdr:rowOff>76200</xdr:rowOff>
    </xdr:from>
    <xdr:to>
      <xdr:col>19</xdr:col>
      <xdr:colOff>0</xdr:colOff>
      <xdr:row>36</xdr:row>
      <xdr:rowOff>76200</xdr:rowOff>
    </xdr:to>
    <xdr:sp>
      <xdr:nvSpPr>
        <xdr:cNvPr id="33" name="Line 151"/>
        <xdr:cNvSpPr>
          <a:spLocks/>
        </xdr:cNvSpPr>
      </xdr:nvSpPr>
      <xdr:spPr>
        <a:xfrm>
          <a:off x="4962525" y="5219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161925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34" name="Line 152"/>
        <xdr:cNvSpPr>
          <a:spLocks/>
        </xdr:cNvSpPr>
      </xdr:nvSpPr>
      <xdr:spPr>
        <a:xfrm>
          <a:off x="5019675" y="50006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285750</xdr:colOff>
      <xdr:row>36</xdr:row>
      <xdr:rowOff>0</xdr:rowOff>
    </xdr:from>
    <xdr:to>
      <xdr:col>19</xdr:col>
      <xdr:colOff>285750</xdr:colOff>
      <xdr:row>37</xdr:row>
      <xdr:rowOff>0</xdr:rowOff>
    </xdr:to>
    <xdr:sp>
      <xdr:nvSpPr>
        <xdr:cNvPr id="35" name="Line 153"/>
        <xdr:cNvSpPr>
          <a:spLocks/>
        </xdr:cNvSpPr>
      </xdr:nvSpPr>
      <xdr:spPr>
        <a:xfrm>
          <a:off x="6438900" y="5143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152400</xdr:colOff>
      <xdr:row>34</xdr:row>
      <xdr:rowOff>95250</xdr:rowOff>
    </xdr:from>
    <xdr:to>
      <xdr:col>15</xdr:col>
      <xdr:colOff>152400</xdr:colOff>
      <xdr:row>35</xdr:row>
      <xdr:rowOff>76200</xdr:rowOff>
    </xdr:to>
    <xdr:sp>
      <xdr:nvSpPr>
        <xdr:cNvPr id="36" name="Line 154"/>
        <xdr:cNvSpPr>
          <a:spLocks/>
        </xdr:cNvSpPr>
      </xdr:nvSpPr>
      <xdr:spPr>
        <a:xfrm flipV="1">
          <a:off x="5010150" y="4953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95250</xdr:rowOff>
    </xdr:from>
    <xdr:to>
      <xdr:col>19</xdr:col>
      <xdr:colOff>0</xdr:colOff>
      <xdr:row>35</xdr:row>
      <xdr:rowOff>85725</xdr:rowOff>
    </xdr:to>
    <xdr:sp>
      <xdr:nvSpPr>
        <xdr:cNvPr id="37" name="Line 155"/>
        <xdr:cNvSpPr>
          <a:spLocks/>
        </xdr:cNvSpPr>
      </xdr:nvSpPr>
      <xdr:spPr>
        <a:xfrm flipV="1">
          <a:off x="6153150" y="4953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95250</xdr:colOff>
      <xdr:row>36</xdr:row>
      <xdr:rowOff>0</xdr:rowOff>
    </xdr:from>
    <xdr:to>
      <xdr:col>20</xdr:col>
      <xdr:colOff>0</xdr:colOff>
      <xdr:row>36</xdr:row>
      <xdr:rowOff>0</xdr:rowOff>
    </xdr:to>
    <xdr:sp>
      <xdr:nvSpPr>
        <xdr:cNvPr id="38" name="Line 156"/>
        <xdr:cNvSpPr>
          <a:spLocks/>
        </xdr:cNvSpPr>
      </xdr:nvSpPr>
      <xdr:spPr>
        <a:xfrm>
          <a:off x="6248400" y="51435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95250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39" name="Line 157"/>
        <xdr:cNvSpPr>
          <a:spLocks/>
        </xdr:cNvSpPr>
      </xdr:nvSpPr>
      <xdr:spPr>
        <a:xfrm>
          <a:off x="6248400" y="52863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123825</xdr:colOff>
      <xdr:row>40</xdr:row>
      <xdr:rowOff>0</xdr:rowOff>
    </xdr:from>
    <xdr:to>
      <xdr:col>19</xdr:col>
      <xdr:colOff>28575</xdr:colOff>
      <xdr:row>40</xdr:row>
      <xdr:rowOff>0</xdr:rowOff>
    </xdr:to>
    <xdr:sp>
      <xdr:nvSpPr>
        <xdr:cNvPr id="40" name="Line 175"/>
        <xdr:cNvSpPr>
          <a:spLocks/>
        </xdr:cNvSpPr>
      </xdr:nvSpPr>
      <xdr:spPr>
        <a:xfrm>
          <a:off x="5629275" y="5715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40</xdr:row>
      <xdr:rowOff>0</xdr:rowOff>
    </xdr:to>
    <xdr:sp>
      <xdr:nvSpPr>
        <xdr:cNvPr id="41" name="Line 176"/>
        <xdr:cNvSpPr>
          <a:spLocks/>
        </xdr:cNvSpPr>
      </xdr:nvSpPr>
      <xdr:spPr>
        <a:xfrm>
          <a:off x="6153150" y="5286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285750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42" name="Line 177"/>
        <xdr:cNvSpPr>
          <a:spLocks/>
        </xdr:cNvSpPr>
      </xdr:nvSpPr>
      <xdr:spPr>
        <a:xfrm>
          <a:off x="4819650" y="54292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295275</xdr:colOff>
      <xdr:row>40</xdr:row>
      <xdr:rowOff>0</xdr:rowOff>
    </xdr:from>
    <xdr:to>
      <xdr:col>16</xdr:col>
      <xdr:colOff>190500</xdr:colOff>
      <xdr:row>40</xdr:row>
      <xdr:rowOff>0</xdr:rowOff>
    </xdr:to>
    <xdr:sp>
      <xdr:nvSpPr>
        <xdr:cNvPr id="43" name="Line 178"/>
        <xdr:cNvSpPr>
          <a:spLocks/>
        </xdr:cNvSpPr>
      </xdr:nvSpPr>
      <xdr:spPr>
        <a:xfrm>
          <a:off x="4829175" y="5715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285750</xdr:colOff>
      <xdr:row>36</xdr:row>
      <xdr:rowOff>0</xdr:rowOff>
    </xdr:from>
    <xdr:to>
      <xdr:col>15</xdr:col>
      <xdr:colOff>76200</xdr:colOff>
      <xdr:row>36</xdr:row>
      <xdr:rowOff>0</xdr:rowOff>
    </xdr:to>
    <xdr:sp>
      <xdr:nvSpPr>
        <xdr:cNvPr id="44" name="Line 179"/>
        <xdr:cNvSpPr>
          <a:spLocks/>
        </xdr:cNvSpPr>
      </xdr:nvSpPr>
      <xdr:spPr>
        <a:xfrm>
          <a:off x="4819650" y="5143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38</xdr:row>
      <xdr:rowOff>0</xdr:rowOff>
    </xdr:to>
    <xdr:sp>
      <xdr:nvSpPr>
        <xdr:cNvPr id="45" name="Line 180"/>
        <xdr:cNvSpPr>
          <a:spLocks/>
        </xdr:cNvSpPr>
      </xdr:nvSpPr>
      <xdr:spPr>
        <a:xfrm>
          <a:off x="4857750" y="5143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40</xdr:row>
      <xdr:rowOff>0</xdr:rowOff>
    </xdr:to>
    <xdr:sp>
      <xdr:nvSpPr>
        <xdr:cNvPr id="46" name="Line 181"/>
        <xdr:cNvSpPr>
          <a:spLocks/>
        </xdr:cNvSpPr>
      </xdr:nvSpPr>
      <xdr:spPr>
        <a:xfrm>
          <a:off x="4857750" y="5429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85725</xdr:colOff>
      <xdr:row>37</xdr:row>
      <xdr:rowOff>0</xdr:rowOff>
    </xdr:from>
    <xdr:to>
      <xdr:col>19</xdr:col>
      <xdr:colOff>76200</xdr:colOff>
      <xdr:row>38</xdr:row>
      <xdr:rowOff>0</xdr:rowOff>
    </xdr:to>
    <xdr:sp>
      <xdr:nvSpPr>
        <xdr:cNvPr id="47" name="Rectangle 182"/>
        <xdr:cNvSpPr>
          <a:spLocks/>
        </xdr:cNvSpPr>
      </xdr:nvSpPr>
      <xdr:spPr>
        <a:xfrm>
          <a:off x="4943475" y="5286375"/>
          <a:ext cx="1285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C.G. of Combined Sect.</a:t>
          </a:r>
        </a:p>
      </xdr:txBody>
    </xdr:sp>
    <xdr:clientData/>
  </xdr:twoCellAnchor>
  <xdr:twoCellAnchor>
    <xdr:from>
      <xdr:col>29</xdr:col>
      <xdr:colOff>0</xdr:colOff>
      <xdr:row>37</xdr:row>
      <xdr:rowOff>0</xdr:rowOff>
    </xdr:from>
    <xdr:to>
      <xdr:col>30</xdr:col>
      <xdr:colOff>0</xdr:colOff>
      <xdr:row>40</xdr:row>
      <xdr:rowOff>0</xdr:rowOff>
    </xdr:to>
    <xdr:grpSp>
      <xdr:nvGrpSpPr>
        <xdr:cNvPr id="48" name="Group 203"/>
        <xdr:cNvGrpSpPr>
          <a:grpSpLocks/>
        </xdr:cNvGrpSpPr>
      </xdr:nvGrpSpPr>
      <xdr:grpSpPr>
        <a:xfrm>
          <a:off x="9391650" y="5286375"/>
          <a:ext cx="323850" cy="428625"/>
          <a:chOff x="850" y="555"/>
          <a:chExt cx="34" cy="45"/>
        </a:xfrm>
        <a:solidFill>
          <a:srgbClr val="FFFFFF"/>
        </a:solidFill>
      </xdr:grpSpPr>
      <xdr:sp>
        <xdr:nvSpPr>
          <xdr:cNvPr id="49" name="Line 204"/>
          <xdr:cNvSpPr>
            <a:spLocks/>
          </xdr:cNvSpPr>
        </xdr:nvSpPr>
        <xdr:spPr>
          <a:xfrm>
            <a:off x="850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Line 205"/>
          <xdr:cNvSpPr>
            <a:spLocks/>
          </xdr:cNvSpPr>
        </xdr:nvSpPr>
        <xdr:spPr>
          <a:xfrm>
            <a:off x="850" y="60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Line 206"/>
          <xdr:cNvSpPr>
            <a:spLocks/>
          </xdr:cNvSpPr>
        </xdr:nvSpPr>
        <xdr:spPr>
          <a:xfrm flipV="1">
            <a:off x="884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Line 207"/>
          <xdr:cNvSpPr>
            <a:spLocks/>
          </xdr:cNvSpPr>
        </xdr:nvSpPr>
        <xdr:spPr>
          <a:xfrm flipH="1">
            <a:off x="851" y="594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Line 208"/>
          <xdr:cNvSpPr>
            <a:spLocks/>
          </xdr:cNvSpPr>
        </xdr:nvSpPr>
        <xdr:spPr>
          <a:xfrm>
            <a:off x="870" y="561"/>
            <a:ext cx="0" cy="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Line 209"/>
          <xdr:cNvSpPr>
            <a:spLocks/>
          </xdr:cNvSpPr>
        </xdr:nvSpPr>
        <xdr:spPr>
          <a:xfrm flipV="1">
            <a:off x="863" y="573"/>
            <a:ext cx="7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Line 210"/>
          <xdr:cNvSpPr>
            <a:spLocks/>
          </xdr:cNvSpPr>
        </xdr:nvSpPr>
        <xdr:spPr>
          <a:xfrm flipV="1">
            <a:off x="863" y="586"/>
            <a:ext cx="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6" name="Line 211"/>
          <xdr:cNvSpPr>
            <a:spLocks/>
          </xdr:cNvSpPr>
        </xdr:nvSpPr>
        <xdr:spPr>
          <a:xfrm flipV="1">
            <a:off x="85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7" name="Line 212"/>
          <xdr:cNvSpPr>
            <a:spLocks/>
          </xdr:cNvSpPr>
        </xdr:nvSpPr>
        <xdr:spPr>
          <a:xfrm flipV="1">
            <a:off x="863" y="568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Line 213"/>
          <xdr:cNvSpPr>
            <a:spLocks/>
          </xdr:cNvSpPr>
        </xdr:nvSpPr>
        <xdr:spPr>
          <a:xfrm flipV="1">
            <a:off x="863" y="579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Line 214"/>
          <xdr:cNvSpPr>
            <a:spLocks/>
          </xdr:cNvSpPr>
        </xdr:nvSpPr>
        <xdr:spPr>
          <a:xfrm flipV="1">
            <a:off x="87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Line 215"/>
          <xdr:cNvSpPr>
            <a:spLocks/>
          </xdr:cNvSpPr>
        </xdr:nvSpPr>
        <xdr:spPr>
          <a:xfrm flipV="1">
            <a:off x="86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Line 216"/>
          <xdr:cNvSpPr>
            <a:spLocks/>
          </xdr:cNvSpPr>
        </xdr:nvSpPr>
        <xdr:spPr>
          <a:xfrm>
            <a:off x="850" y="561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Line 217"/>
          <xdr:cNvSpPr>
            <a:spLocks/>
          </xdr:cNvSpPr>
        </xdr:nvSpPr>
        <xdr:spPr>
          <a:xfrm flipV="1">
            <a:off x="884" y="555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Line 218"/>
          <xdr:cNvSpPr>
            <a:spLocks/>
          </xdr:cNvSpPr>
        </xdr:nvSpPr>
        <xdr:spPr>
          <a:xfrm flipH="1">
            <a:off x="851" y="555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Line 219"/>
          <xdr:cNvSpPr>
            <a:spLocks/>
          </xdr:cNvSpPr>
        </xdr:nvSpPr>
        <xdr:spPr>
          <a:xfrm flipV="1">
            <a:off x="863" y="555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Line 220"/>
          <xdr:cNvSpPr>
            <a:spLocks/>
          </xdr:cNvSpPr>
        </xdr:nvSpPr>
        <xdr:spPr>
          <a:xfrm flipV="1">
            <a:off x="850" y="555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Line 221"/>
          <xdr:cNvSpPr>
            <a:spLocks/>
          </xdr:cNvSpPr>
        </xdr:nvSpPr>
        <xdr:spPr>
          <a:xfrm flipV="1">
            <a:off x="864" y="555"/>
            <a:ext cx="1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Line 222"/>
          <xdr:cNvSpPr>
            <a:spLocks/>
          </xdr:cNvSpPr>
        </xdr:nvSpPr>
        <xdr:spPr>
          <a:xfrm flipV="1">
            <a:off x="850" y="555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Line 223"/>
          <xdr:cNvSpPr>
            <a:spLocks/>
          </xdr:cNvSpPr>
        </xdr:nvSpPr>
        <xdr:spPr>
          <a:xfrm>
            <a:off x="863" y="560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37</xdr:row>
      <xdr:rowOff>0</xdr:rowOff>
    </xdr:from>
    <xdr:to>
      <xdr:col>28</xdr:col>
      <xdr:colOff>0</xdr:colOff>
      <xdr:row>40</xdr:row>
      <xdr:rowOff>0</xdr:rowOff>
    </xdr:to>
    <xdr:grpSp>
      <xdr:nvGrpSpPr>
        <xdr:cNvPr id="69" name="Group 224"/>
        <xdr:cNvGrpSpPr>
          <a:grpSpLocks/>
        </xdr:cNvGrpSpPr>
      </xdr:nvGrpSpPr>
      <xdr:grpSpPr>
        <a:xfrm>
          <a:off x="8743950" y="5286375"/>
          <a:ext cx="323850" cy="428625"/>
          <a:chOff x="782" y="555"/>
          <a:chExt cx="34" cy="45"/>
        </a:xfrm>
        <a:solidFill>
          <a:srgbClr val="FFFFFF"/>
        </a:solidFill>
      </xdr:grpSpPr>
      <xdr:sp>
        <xdr:nvSpPr>
          <xdr:cNvPr id="70" name="Line 225"/>
          <xdr:cNvSpPr>
            <a:spLocks/>
          </xdr:cNvSpPr>
        </xdr:nvSpPr>
        <xdr:spPr>
          <a:xfrm>
            <a:off x="782" y="55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Line 226"/>
          <xdr:cNvSpPr>
            <a:spLocks/>
          </xdr:cNvSpPr>
        </xdr:nvSpPr>
        <xdr:spPr>
          <a:xfrm>
            <a:off x="782" y="60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227"/>
          <xdr:cNvSpPr>
            <a:spLocks/>
          </xdr:cNvSpPr>
        </xdr:nvSpPr>
        <xdr:spPr>
          <a:xfrm flipV="1">
            <a:off x="816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Line 228"/>
          <xdr:cNvSpPr>
            <a:spLocks/>
          </xdr:cNvSpPr>
        </xdr:nvSpPr>
        <xdr:spPr>
          <a:xfrm flipH="1">
            <a:off x="791" y="594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Line 229"/>
          <xdr:cNvSpPr>
            <a:spLocks/>
          </xdr:cNvSpPr>
        </xdr:nvSpPr>
        <xdr:spPr>
          <a:xfrm>
            <a:off x="790" y="561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Line 230"/>
          <xdr:cNvSpPr>
            <a:spLocks/>
          </xdr:cNvSpPr>
        </xdr:nvSpPr>
        <xdr:spPr>
          <a:xfrm>
            <a:off x="782" y="555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Line 231"/>
          <xdr:cNvSpPr>
            <a:spLocks/>
          </xdr:cNvSpPr>
        </xdr:nvSpPr>
        <xdr:spPr>
          <a:xfrm flipV="1">
            <a:off x="782" y="556"/>
            <a:ext cx="2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Line 232"/>
          <xdr:cNvSpPr>
            <a:spLocks/>
          </xdr:cNvSpPr>
        </xdr:nvSpPr>
        <xdr:spPr>
          <a:xfrm flipV="1">
            <a:off x="782" y="57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Line 233"/>
          <xdr:cNvSpPr>
            <a:spLocks/>
          </xdr:cNvSpPr>
        </xdr:nvSpPr>
        <xdr:spPr>
          <a:xfrm flipV="1">
            <a:off x="782" y="586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9" name="Line 234"/>
          <xdr:cNvSpPr>
            <a:spLocks/>
          </xdr:cNvSpPr>
        </xdr:nvSpPr>
        <xdr:spPr>
          <a:xfrm flipV="1">
            <a:off x="78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0" name="Line 235"/>
          <xdr:cNvSpPr>
            <a:spLocks/>
          </xdr:cNvSpPr>
        </xdr:nvSpPr>
        <xdr:spPr>
          <a:xfrm flipV="1">
            <a:off x="782" y="568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236"/>
          <xdr:cNvSpPr>
            <a:spLocks/>
          </xdr:cNvSpPr>
        </xdr:nvSpPr>
        <xdr:spPr>
          <a:xfrm flipV="1">
            <a:off x="782" y="555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237"/>
          <xdr:cNvSpPr>
            <a:spLocks/>
          </xdr:cNvSpPr>
        </xdr:nvSpPr>
        <xdr:spPr>
          <a:xfrm flipV="1">
            <a:off x="782" y="580"/>
            <a:ext cx="7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238"/>
          <xdr:cNvSpPr>
            <a:spLocks/>
          </xdr:cNvSpPr>
        </xdr:nvSpPr>
        <xdr:spPr>
          <a:xfrm flipV="1">
            <a:off x="80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239"/>
          <xdr:cNvSpPr>
            <a:spLocks/>
          </xdr:cNvSpPr>
        </xdr:nvSpPr>
        <xdr:spPr>
          <a:xfrm flipV="1">
            <a:off x="782" y="591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240"/>
          <xdr:cNvSpPr>
            <a:spLocks/>
          </xdr:cNvSpPr>
        </xdr:nvSpPr>
        <xdr:spPr>
          <a:xfrm flipV="1">
            <a:off x="79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241"/>
          <xdr:cNvSpPr>
            <a:spLocks/>
          </xdr:cNvSpPr>
        </xdr:nvSpPr>
        <xdr:spPr>
          <a:xfrm>
            <a:off x="791" y="561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242"/>
          <xdr:cNvSpPr>
            <a:spLocks/>
          </xdr:cNvSpPr>
        </xdr:nvSpPr>
        <xdr:spPr>
          <a:xfrm flipV="1">
            <a:off x="816" y="555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Line 243"/>
          <xdr:cNvSpPr>
            <a:spLocks/>
          </xdr:cNvSpPr>
        </xdr:nvSpPr>
        <xdr:spPr>
          <a:xfrm flipV="1">
            <a:off x="809" y="557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37</xdr:row>
      <xdr:rowOff>0</xdr:rowOff>
    </xdr:from>
    <xdr:to>
      <xdr:col>25</xdr:col>
      <xdr:colOff>200025</xdr:colOff>
      <xdr:row>40</xdr:row>
      <xdr:rowOff>0</xdr:rowOff>
    </xdr:to>
    <xdr:grpSp>
      <xdr:nvGrpSpPr>
        <xdr:cNvPr id="89" name="Group 244"/>
        <xdr:cNvGrpSpPr>
          <a:grpSpLocks/>
        </xdr:cNvGrpSpPr>
      </xdr:nvGrpSpPr>
      <xdr:grpSpPr>
        <a:xfrm>
          <a:off x="8058150" y="5286375"/>
          <a:ext cx="238125" cy="428625"/>
          <a:chOff x="914" y="555"/>
          <a:chExt cx="25" cy="45"/>
        </a:xfrm>
        <a:solidFill>
          <a:srgbClr val="FFFFFF"/>
        </a:solidFill>
      </xdr:grpSpPr>
      <xdr:sp>
        <xdr:nvSpPr>
          <xdr:cNvPr id="90" name="Line 245"/>
          <xdr:cNvSpPr>
            <a:spLocks/>
          </xdr:cNvSpPr>
        </xdr:nvSpPr>
        <xdr:spPr>
          <a:xfrm>
            <a:off x="914" y="55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1" name="Line 246"/>
          <xdr:cNvSpPr>
            <a:spLocks/>
          </xdr:cNvSpPr>
        </xdr:nvSpPr>
        <xdr:spPr>
          <a:xfrm>
            <a:off x="914" y="600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2" name="Line 247"/>
          <xdr:cNvSpPr>
            <a:spLocks/>
          </xdr:cNvSpPr>
        </xdr:nvSpPr>
        <xdr:spPr>
          <a:xfrm flipV="1">
            <a:off x="939" y="592"/>
            <a:ext cx="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3" name="Line 248"/>
          <xdr:cNvSpPr>
            <a:spLocks/>
          </xdr:cNvSpPr>
        </xdr:nvSpPr>
        <xdr:spPr>
          <a:xfrm flipH="1">
            <a:off x="922" y="593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4" name="Line 249"/>
          <xdr:cNvSpPr>
            <a:spLocks/>
          </xdr:cNvSpPr>
        </xdr:nvSpPr>
        <xdr:spPr>
          <a:xfrm>
            <a:off x="922" y="555"/>
            <a:ext cx="0" cy="3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5" name="Line 250"/>
          <xdr:cNvSpPr>
            <a:spLocks/>
          </xdr:cNvSpPr>
        </xdr:nvSpPr>
        <xdr:spPr>
          <a:xfrm>
            <a:off x="914" y="555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6" name="Line 251"/>
          <xdr:cNvSpPr>
            <a:spLocks/>
          </xdr:cNvSpPr>
        </xdr:nvSpPr>
        <xdr:spPr>
          <a:xfrm flipV="1">
            <a:off x="914" y="561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7" name="Line 252"/>
          <xdr:cNvSpPr>
            <a:spLocks/>
          </xdr:cNvSpPr>
        </xdr:nvSpPr>
        <xdr:spPr>
          <a:xfrm flipV="1">
            <a:off x="914" y="572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8" name="Line 253"/>
          <xdr:cNvSpPr>
            <a:spLocks/>
          </xdr:cNvSpPr>
        </xdr:nvSpPr>
        <xdr:spPr>
          <a:xfrm flipV="1">
            <a:off x="914" y="584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9" name="Line 254"/>
          <xdr:cNvSpPr>
            <a:spLocks/>
          </xdr:cNvSpPr>
        </xdr:nvSpPr>
        <xdr:spPr>
          <a:xfrm flipV="1">
            <a:off x="914" y="593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0" name="Line 255"/>
          <xdr:cNvSpPr>
            <a:spLocks/>
          </xdr:cNvSpPr>
        </xdr:nvSpPr>
        <xdr:spPr>
          <a:xfrm flipV="1">
            <a:off x="914" y="567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1" name="Line 256"/>
          <xdr:cNvSpPr>
            <a:spLocks/>
          </xdr:cNvSpPr>
        </xdr:nvSpPr>
        <xdr:spPr>
          <a:xfrm flipV="1">
            <a:off x="914" y="555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2" name="Line 257"/>
          <xdr:cNvSpPr>
            <a:spLocks/>
          </xdr:cNvSpPr>
        </xdr:nvSpPr>
        <xdr:spPr>
          <a:xfrm flipV="1">
            <a:off x="914" y="578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3" name="Line 258"/>
          <xdr:cNvSpPr>
            <a:spLocks/>
          </xdr:cNvSpPr>
        </xdr:nvSpPr>
        <xdr:spPr>
          <a:xfrm flipV="1">
            <a:off x="929" y="594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4" name="Line 259"/>
          <xdr:cNvSpPr>
            <a:spLocks/>
          </xdr:cNvSpPr>
        </xdr:nvSpPr>
        <xdr:spPr>
          <a:xfrm flipV="1">
            <a:off x="914" y="589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5" name="Line 260"/>
          <xdr:cNvSpPr>
            <a:spLocks/>
          </xdr:cNvSpPr>
        </xdr:nvSpPr>
        <xdr:spPr>
          <a:xfrm flipV="1">
            <a:off x="921" y="593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37</xdr:row>
      <xdr:rowOff>0</xdr:rowOff>
    </xdr:from>
    <xdr:to>
      <xdr:col>23</xdr:col>
      <xdr:colOff>38100</xdr:colOff>
      <xdr:row>40</xdr:row>
      <xdr:rowOff>0</xdr:rowOff>
    </xdr:to>
    <xdr:grpSp>
      <xdr:nvGrpSpPr>
        <xdr:cNvPr id="106" name="Group 261"/>
        <xdr:cNvGrpSpPr>
          <a:grpSpLocks/>
        </xdr:cNvGrpSpPr>
      </xdr:nvGrpSpPr>
      <xdr:grpSpPr>
        <a:xfrm>
          <a:off x="7419975" y="5286375"/>
          <a:ext cx="66675" cy="428625"/>
          <a:chOff x="630" y="285"/>
          <a:chExt cx="16" cy="60"/>
        </a:xfrm>
        <a:solidFill>
          <a:srgbClr val="FFFFFF"/>
        </a:solidFill>
      </xdr:grpSpPr>
      <xdr:sp>
        <xdr:nvSpPr>
          <xdr:cNvPr id="107" name="Line 262"/>
          <xdr:cNvSpPr>
            <a:spLocks/>
          </xdr:cNvSpPr>
        </xdr:nvSpPr>
        <xdr:spPr>
          <a:xfrm>
            <a:off x="630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8" name="Line 263"/>
          <xdr:cNvSpPr>
            <a:spLocks/>
          </xdr:cNvSpPr>
        </xdr:nvSpPr>
        <xdr:spPr>
          <a:xfrm>
            <a:off x="630" y="34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9" name="Line 264"/>
          <xdr:cNvSpPr>
            <a:spLocks/>
          </xdr:cNvSpPr>
        </xdr:nvSpPr>
        <xdr:spPr>
          <a:xfrm>
            <a:off x="646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0" name="Line 265"/>
          <xdr:cNvSpPr>
            <a:spLocks/>
          </xdr:cNvSpPr>
        </xdr:nvSpPr>
        <xdr:spPr>
          <a:xfrm>
            <a:off x="630" y="28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1" name="Line 266"/>
          <xdr:cNvSpPr>
            <a:spLocks/>
          </xdr:cNvSpPr>
        </xdr:nvSpPr>
        <xdr:spPr>
          <a:xfrm flipV="1">
            <a:off x="630" y="29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2" name="Line 267"/>
          <xdr:cNvSpPr>
            <a:spLocks/>
          </xdr:cNvSpPr>
        </xdr:nvSpPr>
        <xdr:spPr>
          <a:xfrm flipV="1">
            <a:off x="630" y="30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3" name="Line 268"/>
          <xdr:cNvSpPr>
            <a:spLocks/>
          </xdr:cNvSpPr>
        </xdr:nvSpPr>
        <xdr:spPr>
          <a:xfrm flipV="1">
            <a:off x="630" y="32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4" name="Line 269"/>
          <xdr:cNvSpPr>
            <a:spLocks/>
          </xdr:cNvSpPr>
        </xdr:nvSpPr>
        <xdr:spPr>
          <a:xfrm flipV="1">
            <a:off x="630" y="33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5" name="Line 270"/>
          <xdr:cNvSpPr>
            <a:spLocks/>
          </xdr:cNvSpPr>
        </xdr:nvSpPr>
        <xdr:spPr>
          <a:xfrm flipV="1">
            <a:off x="630" y="301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6" name="Line 271"/>
          <xdr:cNvSpPr>
            <a:spLocks/>
          </xdr:cNvSpPr>
        </xdr:nvSpPr>
        <xdr:spPr>
          <a:xfrm flipV="1">
            <a:off x="630" y="285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7" name="Line 272"/>
          <xdr:cNvSpPr>
            <a:spLocks/>
          </xdr:cNvSpPr>
        </xdr:nvSpPr>
        <xdr:spPr>
          <a:xfrm flipV="1">
            <a:off x="630" y="316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8" name="Line 273"/>
          <xdr:cNvSpPr>
            <a:spLocks/>
          </xdr:cNvSpPr>
        </xdr:nvSpPr>
        <xdr:spPr>
          <a:xfrm flipV="1">
            <a:off x="630" y="330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54</xdr:row>
      <xdr:rowOff>0</xdr:rowOff>
    </xdr:from>
    <xdr:to>
      <xdr:col>30</xdr:col>
      <xdr:colOff>0</xdr:colOff>
      <xdr:row>57</xdr:row>
      <xdr:rowOff>0</xdr:rowOff>
    </xdr:to>
    <xdr:grpSp>
      <xdr:nvGrpSpPr>
        <xdr:cNvPr id="119" name="Group 274"/>
        <xdr:cNvGrpSpPr>
          <a:grpSpLocks/>
        </xdr:cNvGrpSpPr>
      </xdr:nvGrpSpPr>
      <xdr:grpSpPr>
        <a:xfrm>
          <a:off x="9391650" y="7715250"/>
          <a:ext cx="323850" cy="428625"/>
          <a:chOff x="850" y="555"/>
          <a:chExt cx="34" cy="45"/>
        </a:xfrm>
        <a:solidFill>
          <a:srgbClr val="FFFFFF"/>
        </a:solidFill>
      </xdr:grpSpPr>
      <xdr:sp>
        <xdr:nvSpPr>
          <xdr:cNvPr id="120" name="Line 275"/>
          <xdr:cNvSpPr>
            <a:spLocks/>
          </xdr:cNvSpPr>
        </xdr:nvSpPr>
        <xdr:spPr>
          <a:xfrm>
            <a:off x="850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1" name="Line 276"/>
          <xdr:cNvSpPr>
            <a:spLocks/>
          </xdr:cNvSpPr>
        </xdr:nvSpPr>
        <xdr:spPr>
          <a:xfrm>
            <a:off x="850" y="60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2" name="Line 277"/>
          <xdr:cNvSpPr>
            <a:spLocks/>
          </xdr:cNvSpPr>
        </xdr:nvSpPr>
        <xdr:spPr>
          <a:xfrm flipV="1">
            <a:off x="884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3" name="Line 278"/>
          <xdr:cNvSpPr>
            <a:spLocks/>
          </xdr:cNvSpPr>
        </xdr:nvSpPr>
        <xdr:spPr>
          <a:xfrm flipH="1">
            <a:off x="851" y="594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4" name="Line 279"/>
          <xdr:cNvSpPr>
            <a:spLocks/>
          </xdr:cNvSpPr>
        </xdr:nvSpPr>
        <xdr:spPr>
          <a:xfrm>
            <a:off x="870" y="561"/>
            <a:ext cx="0" cy="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5" name="Line 280"/>
          <xdr:cNvSpPr>
            <a:spLocks/>
          </xdr:cNvSpPr>
        </xdr:nvSpPr>
        <xdr:spPr>
          <a:xfrm flipV="1">
            <a:off x="863" y="573"/>
            <a:ext cx="7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6" name="Line 281"/>
          <xdr:cNvSpPr>
            <a:spLocks/>
          </xdr:cNvSpPr>
        </xdr:nvSpPr>
        <xdr:spPr>
          <a:xfrm flipV="1">
            <a:off x="863" y="586"/>
            <a:ext cx="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7" name="Line 282"/>
          <xdr:cNvSpPr>
            <a:spLocks/>
          </xdr:cNvSpPr>
        </xdr:nvSpPr>
        <xdr:spPr>
          <a:xfrm flipV="1">
            <a:off x="85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8" name="Line 283"/>
          <xdr:cNvSpPr>
            <a:spLocks/>
          </xdr:cNvSpPr>
        </xdr:nvSpPr>
        <xdr:spPr>
          <a:xfrm flipV="1">
            <a:off x="863" y="568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9" name="Line 284"/>
          <xdr:cNvSpPr>
            <a:spLocks/>
          </xdr:cNvSpPr>
        </xdr:nvSpPr>
        <xdr:spPr>
          <a:xfrm flipV="1">
            <a:off x="863" y="579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0" name="Line 285"/>
          <xdr:cNvSpPr>
            <a:spLocks/>
          </xdr:cNvSpPr>
        </xdr:nvSpPr>
        <xdr:spPr>
          <a:xfrm flipV="1">
            <a:off x="87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1" name="Line 286"/>
          <xdr:cNvSpPr>
            <a:spLocks/>
          </xdr:cNvSpPr>
        </xdr:nvSpPr>
        <xdr:spPr>
          <a:xfrm flipV="1">
            <a:off x="86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2" name="Line 287"/>
          <xdr:cNvSpPr>
            <a:spLocks/>
          </xdr:cNvSpPr>
        </xdr:nvSpPr>
        <xdr:spPr>
          <a:xfrm>
            <a:off x="850" y="561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3" name="Line 288"/>
          <xdr:cNvSpPr>
            <a:spLocks/>
          </xdr:cNvSpPr>
        </xdr:nvSpPr>
        <xdr:spPr>
          <a:xfrm flipV="1">
            <a:off x="884" y="555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4" name="Line 289"/>
          <xdr:cNvSpPr>
            <a:spLocks/>
          </xdr:cNvSpPr>
        </xdr:nvSpPr>
        <xdr:spPr>
          <a:xfrm flipH="1">
            <a:off x="851" y="555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5" name="Line 290"/>
          <xdr:cNvSpPr>
            <a:spLocks/>
          </xdr:cNvSpPr>
        </xdr:nvSpPr>
        <xdr:spPr>
          <a:xfrm flipV="1">
            <a:off x="863" y="555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6" name="Line 291"/>
          <xdr:cNvSpPr>
            <a:spLocks/>
          </xdr:cNvSpPr>
        </xdr:nvSpPr>
        <xdr:spPr>
          <a:xfrm flipV="1">
            <a:off x="850" y="555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7" name="Line 292"/>
          <xdr:cNvSpPr>
            <a:spLocks/>
          </xdr:cNvSpPr>
        </xdr:nvSpPr>
        <xdr:spPr>
          <a:xfrm flipV="1">
            <a:off x="864" y="555"/>
            <a:ext cx="1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8" name="Line 293"/>
          <xdr:cNvSpPr>
            <a:spLocks/>
          </xdr:cNvSpPr>
        </xdr:nvSpPr>
        <xdr:spPr>
          <a:xfrm flipV="1">
            <a:off x="850" y="555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9" name="Line 294"/>
          <xdr:cNvSpPr>
            <a:spLocks/>
          </xdr:cNvSpPr>
        </xdr:nvSpPr>
        <xdr:spPr>
          <a:xfrm>
            <a:off x="863" y="560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54</xdr:row>
      <xdr:rowOff>0</xdr:rowOff>
    </xdr:from>
    <xdr:to>
      <xdr:col>28</xdr:col>
      <xdr:colOff>0</xdr:colOff>
      <xdr:row>57</xdr:row>
      <xdr:rowOff>0</xdr:rowOff>
    </xdr:to>
    <xdr:grpSp>
      <xdr:nvGrpSpPr>
        <xdr:cNvPr id="140" name="Group 295"/>
        <xdr:cNvGrpSpPr>
          <a:grpSpLocks/>
        </xdr:cNvGrpSpPr>
      </xdr:nvGrpSpPr>
      <xdr:grpSpPr>
        <a:xfrm>
          <a:off x="8743950" y="7715250"/>
          <a:ext cx="323850" cy="428625"/>
          <a:chOff x="782" y="555"/>
          <a:chExt cx="34" cy="45"/>
        </a:xfrm>
        <a:solidFill>
          <a:srgbClr val="FFFFFF"/>
        </a:solidFill>
      </xdr:grpSpPr>
      <xdr:sp>
        <xdr:nvSpPr>
          <xdr:cNvPr id="141" name="Line 296"/>
          <xdr:cNvSpPr>
            <a:spLocks/>
          </xdr:cNvSpPr>
        </xdr:nvSpPr>
        <xdr:spPr>
          <a:xfrm>
            <a:off x="782" y="55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2" name="Line 297"/>
          <xdr:cNvSpPr>
            <a:spLocks/>
          </xdr:cNvSpPr>
        </xdr:nvSpPr>
        <xdr:spPr>
          <a:xfrm>
            <a:off x="782" y="60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3" name="Line 298"/>
          <xdr:cNvSpPr>
            <a:spLocks/>
          </xdr:cNvSpPr>
        </xdr:nvSpPr>
        <xdr:spPr>
          <a:xfrm flipV="1">
            <a:off x="816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4" name="Line 299"/>
          <xdr:cNvSpPr>
            <a:spLocks/>
          </xdr:cNvSpPr>
        </xdr:nvSpPr>
        <xdr:spPr>
          <a:xfrm flipH="1">
            <a:off x="791" y="594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5" name="Line 300"/>
          <xdr:cNvSpPr>
            <a:spLocks/>
          </xdr:cNvSpPr>
        </xdr:nvSpPr>
        <xdr:spPr>
          <a:xfrm>
            <a:off x="790" y="561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6" name="Line 301"/>
          <xdr:cNvSpPr>
            <a:spLocks/>
          </xdr:cNvSpPr>
        </xdr:nvSpPr>
        <xdr:spPr>
          <a:xfrm>
            <a:off x="782" y="555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7" name="Line 302"/>
          <xdr:cNvSpPr>
            <a:spLocks/>
          </xdr:cNvSpPr>
        </xdr:nvSpPr>
        <xdr:spPr>
          <a:xfrm flipV="1">
            <a:off x="782" y="556"/>
            <a:ext cx="2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8" name="Line 303"/>
          <xdr:cNvSpPr>
            <a:spLocks/>
          </xdr:cNvSpPr>
        </xdr:nvSpPr>
        <xdr:spPr>
          <a:xfrm flipV="1">
            <a:off x="782" y="57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9" name="Line 304"/>
          <xdr:cNvSpPr>
            <a:spLocks/>
          </xdr:cNvSpPr>
        </xdr:nvSpPr>
        <xdr:spPr>
          <a:xfrm flipV="1">
            <a:off x="782" y="586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0" name="Line 305"/>
          <xdr:cNvSpPr>
            <a:spLocks/>
          </xdr:cNvSpPr>
        </xdr:nvSpPr>
        <xdr:spPr>
          <a:xfrm flipV="1">
            <a:off x="78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1" name="Line 306"/>
          <xdr:cNvSpPr>
            <a:spLocks/>
          </xdr:cNvSpPr>
        </xdr:nvSpPr>
        <xdr:spPr>
          <a:xfrm flipV="1">
            <a:off x="782" y="568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2" name="Line 307"/>
          <xdr:cNvSpPr>
            <a:spLocks/>
          </xdr:cNvSpPr>
        </xdr:nvSpPr>
        <xdr:spPr>
          <a:xfrm flipV="1">
            <a:off x="782" y="555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3" name="Line 308"/>
          <xdr:cNvSpPr>
            <a:spLocks/>
          </xdr:cNvSpPr>
        </xdr:nvSpPr>
        <xdr:spPr>
          <a:xfrm flipV="1">
            <a:off x="782" y="580"/>
            <a:ext cx="7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4" name="Line 309"/>
          <xdr:cNvSpPr>
            <a:spLocks/>
          </xdr:cNvSpPr>
        </xdr:nvSpPr>
        <xdr:spPr>
          <a:xfrm flipV="1">
            <a:off x="80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5" name="Line 310"/>
          <xdr:cNvSpPr>
            <a:spLocks/>
          </xdr:cNvSpPr>
        </xdr:nvSpPr>
        <xdr:spPr>
          <a:xfrm flipV="1">
            <a:off x="782" y="591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6" name="Line 311"/>
          <xdr:cNvSpPr>
            <a:spLocks/>
          </xdr:cNvSpPr>
        </xdr:nvSpPr>
        <xdr:spPr>
          <a:xfrm flipV="1">
            <a:off x="79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7" name="Line 312"/>
          <xdr:cNvSpPr>
            <a:spLocks/>
          </xdr:cNvSpPr>
        </xdr:nvSpPr>
        <xdr:spPr>
          <a:xfrm>
            <a:off x="791" y="561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8" name="Line 313"/>
          <xdr:cNvSpPr>
            <a:spLocks/>
          </xdr:cNvSpPr>
        </xdr:nvSpPr>
        <xdr:spPr>
          <a:xfrm flipV="1">
            <a:off x="816" y="555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9" name="Line 314"/>
          <xdr:cNvSpPr>
            <a:spLocks/>
          </xdr:cNvSpPr>
        </xdr:nvSpPr>
        <xdr:spPr>
          <a:xfrm flipV="1">
            <a:off x="809" y="557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54</xdr:row>
      <xdr:rowOff>0</xdr:rowOff>
    </xdr:from>
    <xdr:to>
      <xdr:col>25</xdr:col>
      <xdr:colOff>200025</xdr:colOff>
      <xdr:row>57</xdr:row>
      <xdr:rowOff>0</xdr:rowOff>
    </xdr:to>
    <xdr:grpSp>
      <xdr:nvGrpSpPr>
        <xdr:cNvPr id="160" name="Group 315"/>
        <xdr:cNvGrpSpPr>
          <a:grpSpLocks/>
        </xdr:cNvGrpSpPr>
      </xdr:nvGrpSpPr>
      <xdr:grpSpPr>
        <a:xfrm>
          <a:off x="8058150" y="7715250"/>
          <a:ext cx="238125" cy="428625"/>
          <a:chOff x="914" y="555"/>
          <a:chExt cx="25" cy="45"/>
        </a:xfrm>
        <a:solidFill>
          <a:srgbClr val="FFFFFF"/>
        </a:solidFill>
      </xdr:grpSpPr>
      <xdr:sp>
        <xdr:nvSpPr>
          <xdr:cNvPr id="161" name="Line 316"/>
          <xdr:cNvSpPr>
            <a:spLocks/>
          </xdr:cNvSpPr>
        </xdr:nvSpPr>
        <xdr:spPr>
          <a:xfrm>
            <a:off x="914" y="55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2" name="Line 317"/>
          <xdr:cNvSpPr>
            <a:spLocks/>
          </xdr:cNvSpPr>
        </xdr:nvSpPr>
        <xdr:spPr>
          <a:xfrm>
            <a:off x="914" y="600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3" name="Line 318"/>
          <xdr:cNvSpPr>
            <a:spLocks/>
          </xdr:cNvSpPr>
        </xdr:nvSpPr>
        <xdr:spPr>
          <a:xfrm flipV="1">
            <a:off x="939" y="592"/>
            <a:ext cx="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4" name="Line 319"/>
          <xdr:cNvSpPr>
            <a:spLocks/>
          </xdr:cNvSpPr>
        </xdr:nvSpPr>
        <xdr:spPr>
          <a:xfrm flipH="1">
            <a:off x="922" y="593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5" name="Line 320"/>
          <xdr:cNvSpPr>
            <a:spLocks/>
          </xdr:cNvSpPr>
        </xdr:nvSpPr>
        <xdr:spPr>
          <a:xfrm>
            <a:off x="922" y="555"/>
            <a:ext cx="0" cy="3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6" name="Line 321"/>
          <xdr:cNvSpPr>
            <a:spLocks/>
          </xdr:cNvSpPr>
        </xdr:nvSpPr>
        <xdr:spPr>
          <a:xfrm>
            <a:off x="914" y="555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7" name="Line 322"/>
          <xdr:cNvSpPr>
            <a:spLocks/>
          </xdr:cNvSpPr>
        </xdr:nvSpPr>
        <xdr:spPr>
          <a:xfrm flipV="1">
            <a:off x="914" y="561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8" name="Line 323"/>
          <xdr:cNvSpPr>
            <a:spLocks/>
          </xdr:cNvSpPr>
        </xdr:nvSpPr>
        <xdr:spPr>
          <a:xfrm flipV="1">
            <a:off x="914" y="572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9" name="Line 324"/>
          <xdr:cNvSpPr>
            <a:spLocks/>
          </xdr:cNvSpPr>
        </xdr:nvSpPr>
        <xdr:spPr>
          <a:xfrm flipV="1">
            <a:off x="914" y="584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0" name="Line 325"/>
          <xdr:cNvSpPr>
            <a:spLocks/>
          </xdr:cNvSpPr>
        </xdr:nvSpPr>
        <xdr:spPr>
          <a:xfrm flipV="1">
            <a:off x="914" y="593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1" name="Line 326"/>
          <xdr:cNvSpPr>
            <a:spLocks/>
          </xdr:cNvSpPr>
        </xdr:nvSpPr>
        <xdr:spPr>
          <a:xfrm flipV="1">
            <a:off x="914" y="567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2" name="Line 327"/>
          <xdr:cNvSpPr>
            <a:spLocks/>
          </xdr:cNvSpPr>
        </xdr:nvSpPr>
        <xdr:spPr>
          <a:xfrm flipV="1">
            <a:off x="914" y="555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3" name="Line 328"/>
          <xdr:cNvSpPr>
            <a:spLocks/>
          </xdr:cNvSpPr>
        </xdr:nvSpPr>
        <xdr:spPr>
          <a:xfrm flipV="1">
            <a:off x="914" y="578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4" name="Line 329"/>
          <xdr:cNvSpPr>
            <a:spLocks/>
          </xdr:cNvSpPr>
        </xdr:nvSpPr>
        <xdr:spPr>
          <a:xfrm flipV="1">
            <a:off x="929" y="594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5" name="Line 330"/>
          <xdr:cNvSpPr>
            <a:spLocks/>
          </xdr:cNvSpPr>
        </xdr:nvSpPr>
        <xdr:spPr>
          <a:xfrm flipV="1">
            <a:off x="914" y="589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6" name="Line 331"/>
          <xdr:cNvSpPr>
            <a:spLocks/>
          </xdr:cNvSpPr>
        </xdr:nvSpPr>
        <xdr:spPr>
          <a:xfrm flipV="1">
            <a:off x="921" y="593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54</xdr:row>
      <xdr:rowOff>0</xdr:rowOff>
    </xdr:from>
    <xdr:to>
      <xdr:col>23</xdr:col>
      <xdr:colOff>38100</xdr:colOff>
      <xdr:row>57</xdr:row>
      <xdr:rowOff>0</xdr:rowOff>
    </xdr:to>
    <xdr:grpSp>
      <xdr:nvGrpSpPr>
        <xdr:cNvPr id="177" name="Group 332"/>
        <xdr:cNvGrpSpPr>
          <a:grpSpLocks/>
        </xdr:cNvGrpSpPr>
      </xdr:nvGrpSpPr>
      <xdr:grpSpPr>
        <a:xfrm>
          <a:off x="7419975" y="7715250"/>
          <a:ext cx="66675" cy="428625"/>
          <a:chOff x="630" y="285"/>
          <a:chExt cx="16" cy="60"/>
        </a:xfrm>
        <a:solidFill>
          <a:srgbClr val="FFFFFF"/>
        </a:solidFill>
      </xdr:grpSpPr>
      <xdr:sp>
        <xdr:nvSpPr>
          <xdr:cNvPr id="178" name="Line 333"/>
          <xdr:cNvSpPr>
            <a:spLocks/>
          </xdr:cNvSpPr>
        </xdr:nvSpPr>
        <xdr:spPr>
          <a:xfrm>
            <a:off x="630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9" name="Line 334"/>
          <xdr:cNvSpPr>
            <a:spLocks/>
          </xdr:cNvSpPr>
        </xdr:nvSpPr>
        <xdr:spPr>
          <a:xfrm>
            <a:off x="630" y="34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0" name="Line 335"/>
          <xdr:cNvSpPr>
            <a:spLocks/>
          </xdr:cNvSpPr>
        </xdr:nvSpPr>
        <xdr:spPr>
          <a:xfrm>
            <a:off x="646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1" name="Line 336"/>
          <xdr:cNvSpPr>
            <a:spLocks/>
          </xdr:cNvSpPr>
        </xdr:nvSpPr>
        <xdr:spPr>
          <a:xfrm>
            <a:off x="630" y="28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2" name="Line 337"/>
          <xdr:cNvSpPr>
            <a:spLocks/>
          </xdr:cNvSpPr>
        </xdr:nvSpPr>
        <xdr:spPr>
          <a:xfrm flipV="1">
            <a:off x="630" y="29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3" name="Line 338"/>
          <xdr:cNvSpPr>
            <a:spLocks/>
          </xdr:cNvSpPr>
        </xdr:nvSpPr>
        <xdr:spPr>
          <a:xfrm flipV="1">
            <a:off x="630" y="30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4" name="Line 339"/>
          <xdr:cNvSpPr>
            <a:spLocks/>
          </xdr:cNvSpPr>
        </xdr:nvSpPr>
        <xdr:spPr>
          <a:xfrm flipV="1">
            <a:off x="630" y="32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5" name="Line 340"/>
          <xdr:cNvSpPr>
            <a:spLocks/>
          </xdr:cNvSpPr>
        </xdr:nvSpPr>
        <xdr:spPr>
          <a:xfrm flipV="1">
            <a:off x="630" y="33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6" name="Line 341"/>
          <xdr:cNvSpPr>
            <a:spLocks/>
          </xdr:cNvSpPr>
        </xdr:nvSpPr>
        <xdr:spPr>
          <a:xfrm flipV="1">
            <a:off x="630" y="301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7" name="Line 342"/>
          <xdr:cNvSpPr>
            <a:spLocks/>
          </xdr:cNvSpPr>
        </xdr:nvSpPr>
        <xdr:spPr>
          <a:xfrm flipV="1">
            <a:off x="630" y="285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8" name="Line 343"/>
          <xdr:cNvSpPr>
            <a:spLocks/>
          </xdr:cNvSpPr>
        </xdr:nvSpPr>
        <xdr:spPr>
          <a:xfrm flipV="1">
            <a:off x="630" y="316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9" name="Line 344"/>
          <xdr:cNvSpPr>
            <a:spLocks/>
          </xdr:cNvSpPr>
        </xdr:nvSpPr>
        <xdr:spPr>
          <a:xfrm flipV="1">
            <a:off x="630" y="330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37</xdr:row>
      <xdr:rowOff>0</xdr:rowOff>
    </xdr:from>
    <xdr:to>
      <xdr:col>17</xdr:col>
      <xdr:colOff>38100</xdr:colOff>
      <xdr:row>40</xdr:row>
      <xdr:rowOff>0</xdr:rowOff>
    </xdr:to>
    <xdr:grpSp>
      <xdr:nvGrpSpPr>
        <xdr:cNvPr id="190" name="Group 345"/>
        <xdr:cNvGrpSpPr>
          <a:grpSpLocks/>
        </xdr:cNvGrpSpPr>
      </xdr:nvGrpSpPr>
      <xdr:grpSpPr>
        <a:xfrm>
          <a:off x="5476875" y="5286375"/>
          <a:ext cx="66675" cy="428625"/>
          <a:chOff x="630" y="285"/>
          <a:chExt cx="16" cy="60"/>
        </a:xfrm>
        <a:solidFill>
          <a:srgbClr val="FFFFFF"/>
        </a:solidFill>
      </xdr:grpSpPr>
      <xdr:sp>
        <xdr:nvSpPr>
          <xdr:cNvPr id="191" name="Line 346"/>
          <xdr:cNvSpPr>
            <a:spLocks/>
          </xdr:cNvSpPr>
        </xdr:nvSpPr>
        <xdr:spPr>
          <a:xfrm>
            <a:off x="630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2" name="Line 347"/>
          <xdr:cNvSpPr>
            <a:spLocks/>
          </xdr:cNvSpPr>
        </xdr:nvSpPr>
        <xdr:spPr>
          <a:xfrm>
            <a:off x="630" y="34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3" name="Line 348"/>
          <xdr:cNvSpPr>
            <a:spLocks/>
          </xdr:cNvSpPr>
        </xdr:nvSpPr>
        <xdr:spPr>
          <a:xfrm>
            <a:off x="646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4" name="Line 349"/>
          <xdr:cNvSpPr>
            <a:spLocks/>
          </xdr:cNvSpPr>
        </xdr:nvSpPr>
        <xdr:spPr>
          <a:xfrm>
            <a:off x="630" y="28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5" name="Line 350"/>
          <xdr:cNvSpPr>
            <a:spLocks/>
          </xdr:cNvSpPr>
        </xdr:nvSpPr>
        <xdr:spPr>
          <a:xfrm flipV="1">
            <a:off x="630" y="29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6" name="Line 351"/>
          <xdr:cNvSpPr>
            <a:spLocks/>
          </xdr:cNvSpPr>
        </xdr:nvSpPr>
        <xdr:spPr>
          <a:xfrm flipV="1">
            <a:off x="630" y="30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7" name="Line 352"/>
          <xdr:cNvSpPr>
            <a:spLocks/>
          </xdr:cNvSpPr>
        </xdr:nvSpPr>
        <xdr:spPr>
          <a:xfrm flipV="1">
            <a:off x="630" y="32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8" name="Line 353"/>
          <xdr:cNvSpPr>
            <a:spLocks/>
          </xdr:cNvSpPr>
        </xdr:nvSpPr>
        <xdr:spPr>
          <a:xfrm flipV="1">
            <a:off x="630" y="33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9" name="Line 354"/>
          <xdr:cNvSpPr>
            <a:spLocks/>
          </xdr:cNvSpPr>
        </xdr:nvSpPr>
        <xdr:spPr>
          <a:xfrm flipV="1">
            <a:off x="630" y="301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0" name="Line 355"/>
          <xdr:cNvSpPr>
            <a:spLocks/>
          </xdr:cNvSpPr>
        </xdr:nvSpPr>
        <xdr:spPr>
          <a:xfrm flipV="1">
            <a:off x="630" y="285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1" name="Line 356"/>
          <xdr:cNvSpPr>
            <a:spLocks/>
          </xdr:cNvSpPr>
        </xdr:nvSpPr>
        <xdr:spPr>
          <a:xfrm flipV="1">
            <a:off x="630" y="316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2" name="Line 357"/>
          <xdr:cNvSpPr>
            <a:spLocks/>
          </xdr:cNvSpPr>
        </xdr:nvSpPr>
        <xdr:spPr>
          <a:xfrm flipV="1">
            <a:off x="630" y="330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54</xdr:row>
      <xdr:rowOff>0</xdr:rowOff>
    </xdr:from>
    <xdr:to>
      <xdr:col>17</xdr:col>
      <xdr:colOff>38100</xdr:colOff>
      <xdr:row>57</xdr:row>
      <xdr:rowOff>0</xdr:rowOff>
    </xdr:to>
    <xdr:grpSp>
      <xdr:nvGrpSpPr>
        <xdr:cNvPr id="203" name="Group 358"/>
        <xdr:cNvGrpSpPr>
          <a:grpSpLocks/>
        </xdr:cNvGrpSpPr>
      </xdr:nvGrpSpPr>
      <xdr:grpSpPr>
        <a:xfrm>
          <a:off x="5476875" y="7715250"/>
          <a:ext cx="66675" cy="428625"/>
          <a:chOff x="630" y="285"/>
          <a:chExt cx="16" cy="60"/>
        </a:xfrm>
        <a:solidFill>
          <a:srgbClr val="FFFFFF"/>
        </a:solidFill>
      </xdr:grpSpPr>
      <xdr:sp>
        <xdr:nvSpPr>
          <xdr:cNvPr id="204" name="Line 359"/>
          <xdr:cNvSpPr>
            <a:spLocks/>
          </xdr:cNvSpPr>
        </xdr:nvSpPr>
        <xdr:spPr>
          <a:xfrm>
            <a:off x="630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5" name="Line 360"/>
          <xdr:cNvSpPr>
            <a:spLocks/>
          </xdr:cNvSpPr>
        </xdr:nvSpPr>
        <xdr:spPr>
          <a:xfrm>
            <a:off x="630" y="34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6" name="Line 361"/>
          <xdr:cNvSpPr>
            <a:spLocks/>
          </xdr:cNvSpPr>
        </xdr:nvSpPr>
        <xdr:spPr>
          <a:xfrm>
            <a:off x="646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7" name="Line 362"/>
          <xdr:cNvSpPr>
            <a:spLocks/>
          </xdr:cNvSpPr>
        </xdr:nvSpPr>
        <xdr:spPr>
          <a:xfrm>
            <a:off x="630" y="28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8" name="Line 363"/>
          <xdr:cNvSpPr>
            <a:spLocks/>
          </xdr:cNvSpPr>
        </xdr:nvSpPr>
        <xdr:spPr>
          <a:xfrm flipV="1">
            <a:off x="630" y="29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9" name="Line 364"/>
          <xdr:cNvSpPr>
            <a:spLocks/>
          </xdr:cNvSpPr>
        </xdr:nvSpPr>
        <xdr:spPr>
          <a:xfrm flipV="1">
            <a:off x="630" y="30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0" name="Line 365"/>
          <xdr:cNvSpPr>
            <a:spLocks/>
          </xdr:cNvSpPr>
        </xdr:nvSpPr>
        <xdr:spPr>
          <a:xfrm flipV="1">
            <a:off x="630" y="32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1" name="Line 366"/>
          <xdr:cNvSpPr>
            <a:spLocks/>
          </xdr:cNvSpPr>
        </xdr:nvSpPr>
        <xdr:spPr>
          <a:xfrm flipV="1">
            <a:off x="630" y="33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2" name="Line 367"/>
          <xdr:cNvSpPr>
            <a:spLocks/>
          </xdr:cNvSpPr>
        </xdr:nvSpPr>
        <xdr:spPr>
          <a:xfrm flipV="1">
            <a:off x="630" y="301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3" name="Line 368"/>
          <xdr:cNvSpPr>
            <a:spLocks/>
          </xdr:cNvSpPr>
        </xdr:nvSpPr>
        <xdr:spPr>
          <a:xfrm flipV="1">
            <a:off x="630" y="285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4" name="Line 369"/>
          <xdr:cNvSpPr>
            <a:spLocks/>
          </xdr:cNvSpPr>
        </xdr:nvSpPr>
        <xdr:spPr>
          <a:xfrm flipV="1">
            <a:off x="630" y="316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5" name="Line 370"/>
          <xdr:cNvSpPr>
            <a:spLocks/>
          </xdr:cNvSpPr>
        </xdr:nvSpPr>
        <xdr:spPr>
          <a:xfrm flipV="1">
            <a:off x="630" y="330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15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2428875"/>
          <a:ext cx="2914650" cy="2857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0</xdr:rowOff>
    </xdr:from>
    <xdr:to>
      <xdr:col>15</xdr:col>
      <xdr:colOff>47625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895475" y="25717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171450</xdr:colOff>
      <xdr:row>19</xdr:row>
      <xdr:rowOff>0</xdr:rowOff>
    </xdr:from>
    <xdr:to>
      <xdr:col>12</xdr:col>
      <xdr:colOff>0</xdr:colOff>
      <xdr:row>23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409950" y="2714625"/>
          <a:ext cx="476250" cy="571500"/>
          <a:chOff x="358" y="285"/>
          <a:chExt cx="50" cy="60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358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58" y="345"/>
            <a:ext cx="5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408" y="330"/>
            <a:ext cx="0" cy="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374" y="33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74" y="28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58" y="28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58" y="29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358" y="30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358" y="32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358" y="330"/>
            <a:ext cx="34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358" y="301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358" y="285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358" y="316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388" y="337"/>
            <a:ext cx="1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358" y="330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372" y="330"/>
            <a:ext cx="34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1943100" y="22860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05450" y="2428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5505450" y="27146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85725</xdr:colOff>
      <xdr:row>21</xdr:row>
      <xdr:rowOff>0</xdr:rowOff>
    </xdr:from>
    <xdr:to>
      <xdr:col>11</xdr:col>
      <xdr:colOff>104775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3324225" y="3000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95250</xdr:colOff>
      <xdr:row>20</xdr:row>
      <xdr:rowOff>0</xdr:rowOff>
    </xdr:from>
    <xdr:to>
      <xdr:col>11</xdr:col>
      <xdr:colOff>104775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0" y="28575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1619250" y="24288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>
          <a:off x="1619250" y="28575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>
          <a:off x="1295400" y="24288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180975</xdr:colOff>
      <xdr:row>19</xdr:row>
      <xdr:rowOff>57150</xdr:rowOff>
    </xdr:from>
    <xdr:to>
      <xdr:col>15</xdr:col>
      <xdr:colOff>171450</xdr:colOff>
      <xdr:row>20</xdr:row>
      <xdr:rowOff>57150</xdr:rowOff>
    </xdr:to>
    <xdr:sp>
      <xdr:nvSpPr>
        <xdr:cNvPr id="28" name="Rectangle 28"/>
        <xdr:cNvSpPr>
          <a:spLocks/>
        </xdr:cNvSpPr>
      </xdr:nvSpPr>
      <xdr:spPr>
        <a:xfrm>
          <a:off x="3743325" y="2771775"/>
          <a:ext cx="1285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C.G. of Combined Sect.</a:t>
          </a:r>
        </a:p>
      </xdr:txBody>
    </xdr:sp>
    <xdr:clientData/>
  </xdr:twoCellAnchor>
  <xdr:twoCellAnchor>
    <xdr:from>
      <xdr:col>11</xdr:col>
      <xdr:colOff>180975</xdr:colOff>
      <xdr:row>20</xdr:row>
      <xdr:rowOff>76200</xdr:rowOff>
    </xdr:from>
    <xdr:to>
      <xdr:col>15</xdr:col>
      <xdr:colOff>0</xdr:colOff>
      <xdr:row>21</xdr:row>
      <xdr:rowOff>76200</xdr:rowOff>
    </xdr:to>
    <xdr:sp>
      <xdr:nvSpPr>
        <xdr:cNvPr id="29" name="Rectangle 29"/>
        <xdr:cNvSpPr>
          <a:spLocks/>
        </xdr:cNvSpPr>
      </xdr:nvSpPr>
      <xdr:spPr>
        <a:xfrm>
          <a:off x="3743325" y="2933700"/>
          <a:ext cx="1114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C.G. of Stiffener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2914650" y="2571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>
          <a:off x="2914650" y="2857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6950" y="2571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95250</xdr:rowOff>
    </xdr:from>
    <xdr:to>
      <xdr:col>6</xdr:col>
      <xdr:colOff>0</xdr:colOff>
      <xdr:row>16</xdr:row>
      <xdr:rowOff>85725</xdr:rowOff>
    </xdr:to>
    <xdr:sp>
      <xdr:nvSpPr>
        <xdr:cNvPr id="33" name="Line 33"/>
        <xdr:cNvSpPr>
          <a:spLocks/>
        </xdr:cNvSpPr>
      </xdr:nvSpPr>
      <xdr:spPr>
        <a:xfrm flipV="1">
          <a:off x="1943100" y="2238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104775</xdr:rowOff>
    </xdr:from>
    <xdr:to>
      <xdr:col>15</xdr:col>
      <xdr:colOff>0</xdr:colOff>
      <xdr:row>16</xdr:row>
      <xdr:rowOff>85725</xdr:rowOff>
    </xdr:to>
    <xdr:sp>
      <xdr:nvSpPr>
        <xdr:cNvPr id="34" name="Line 34"/>
        <xdr:cNvSpPr>
          <a:spLocks/>
        </xdr:cNvSpPr>
      </xdr:nvSpPr>
      <xdr:spPr>
        <a:xfrm flipV="1">
          <a:off x="4857750" y="2247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295275</xdr:colOff>
      <xdr:row>17</xdr:row>
      <xdr:rowOff>0</xdr:rowOff>
    </xdr:from>
    <xdr:to>
      <xdr:col>5</xdr:col>
      <xdr:colOff>247650</xdr:colOff>
      <xdr:row>17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1266825" y="2428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285750</xdr:colOff>
      <xdr:row>23</xdr:row>
      <xdr:rowOff>0</xdr:rowOff>
    </xdr:from>
    <xdr:to>
      <xdr:col>10</xdr:col>
      <xdr:colOff>66675</xdr:colOff>
      <xdr:row>23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1257300" y="32861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20</xdr:row>
      <xdr:rowOff>0</xdr:rowOff>
    </xdr:from>
    <xdr:to>
      <xdr:col>9</xdr:col>
      <xdr:colOff>28575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343150" y="2857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285750</xdr:colOff>
      <xdr:row>20</xdr:row>
      <xdr:rowOff>0</xdr:rowOff>
    </xdr:from>
    <xdr:to>
      <xdr:col>6</xdr:col>
      <xdr:colOff>66675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1581150" y="2857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276225</xdr:colOff>
      <xdr:row>21</xdr:row>
      <xdr:rowOff>0</xdr:rowOff>
    </xdr:from>
    <xdr:to>
      <xdr:col>10</xdr:col>
      <xdr:colOff>28575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219325" y="3000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76200</xdr:colOff>
      <xdr:row>17</xdr:row>
      <xdr:rowOff>0</xdr:rowOff>
    </xdr:from>
    <xdr:to>
      <xdr:col>17</xdr:col>
      <xdr:colOff>38100</xdr:colOff>
      <xdr:row>17</xdr:row>
      <xdr:rowOff>0</xdr:rowOff>
    </xdr:to>
    <xdr:sp>
      <xdr:nvSpPr>
        <xdr:cNvPr id="40" name="Line 40"/>
        <xdr:cNvSpPr>
          <a:spLocks/>
        </xdr:cNvSpPr>
      </xdr:nvSpPr>
      <xdr:spPr>
        <a:xfrm>
          <a:off x="4933950" y="2428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85725</xdr:colOff>
      <xdr:row>19</xdr:row>
      <xdr:rowOff>0</xdr:rowOff>
    </xdr:from>
    <xdr:to>
      <xdr:col>17</xdr:col>
      <xdr:colOff>47625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4943475" y="2714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104775</xdr:colOff>
      <xdr:row>23</xdr:row>
      <xdr:rowOff>0</xdr:rowOff>
    </xdr:from>
    <xdr:to>
      <xdr:col>17</xdr:col>
      <xdr:colOff>28575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3990975" y="32861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76200</xdr:rowOff>
    </xdr:from>
    <xdr:to>
      <xdr:col>11</xdr:col>
      <xdr:colOff>0</xdr:colOff>
      <xdr:row>24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3562350" y="33623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171450</xdr:colOff>
      <xdr:row>23</xdr:row>
      <xdr:rowOff>66675</xdr:rowOff>
    </xdr:from>
    <xdr:to>
      <xdr:col>10</xdr:col>
      <xdr:colOff>171450</xdr:colOff>
      <xdr:row>25</xdr:row>
      <xdr:rowOff>28575</xdr:rowOff>
    </xdr:to>
    <xdr:sp>
      <xdr:nvSpPr>
        <xdr:cNvPr id="44" name="Line 44"/>
        <xdr:cNvSpPr>
          <a:spLocks/>
        </xdr:cNvSpPr>
      </xdr:nvSpPr>
      <xdr:spPr>
        <a:xfrm>
          <a:off x="3409950" y="3352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95250</xdr:colOff>
      <xdr:row>22</xdr:row>
      <xdr:rowOff>0</xdr:rowOff>
    </xdr:from>
    <xdr:to>
      <xdr:col>13</xdr:col>
      <xdr:colOff>47625</xdr:colOff>
      <xdr:row>22</xdr:row>
      <xdr:rowOff>0</xdr:rowOff>
    </xdr:to>
    <xdr:sp>
      <xdr:nvSpPr>
        <xdr:cNvPr id="45" name="Line 45"/>
        <xdr:cNvSpPr>
          <a:spLocks/>
        </xdr:cNvSpPr>
      </xdr:nvSpPr>
      <xdr:spPr>
        <a:xfrm>
          <a:off x="3981450" y="3143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6" name="Line 46"/>
        <xdr:cNvSpPr>
          <a:spLocks/>
        </xdr:cNvSpPr>
      </xdr:nvSpPr>
      <xdr:spPr>
        <a:xfrm>
          <a:off x="421005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76200</xdr:rowOff>
    </xdr:from>
    <xdr:to>
      <xdr:col>12</xdr:col>
      <xdr:colOff>0</xdr:colOff>
      <xdr:row>25</xdr:row>
      <xdr:rowOff>38100</xdr:rowOff>
    </xdr:to>
    <xdr:sp>
      <xdr:nvSpPr>
        <xdr:cNvPr id="47" name="Line 47"/>
        <xdr:cNvSpPr>
          <a:spLocks/>
        </xdr:cNvSpPr>
      </xdr:nvSpPr>
      <xdr:spPr>
        <a:xfrm>
          <a:off x="3886200" y="3362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0</xdr:rowOff>
    </xdr:from>
    <xdr:to>
      <xdr:col>10</xdr:col>
      <xdr:colOff>161925</xdr:colOff>
      <xdr:row>24</xdr:row>
      <xdr:rowOff>0</xdr:rowOff>
    </xdr:to>
    <xdr:sp>
      <xdr:nvSpPr>
        <xdr:cNvPr id="48" name="Line 48"/>
        <xdr:cNvSpPr>
          <a:spLocks/>
        </xdr:cNvSpPr>
      </xdr:nvSpPr>
      <xdr:spPr>
        <a:xfrm>
          <a:off x="3067050" y="3429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171450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49" name="Line 49"/>
        <xdr:cNvSpPr>
          <a:spLocks/>
        </xdr:cNvSpPr>
      </xdr:nvSpPr>
      <xdr:spPr>
        <a:xfrm>
          <a:off x="3409950" y="3429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50" name="Line 50"/>
        <xdr:cNvSpPr>
          <a:spLocks/>
        </xdr:cNvSpPr>
      </xdr:nvSpPr>
      <xdr:spPr>
        <a:xfrm>
          <a:off x="3409950" y="3571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>
      <xdr:nvSpPr>
        <xdr:cNvPr id="51" name="Line 53"/>
        <xdr:cNvSpPr>
          <a:spLocks/>
        </xdr:cNvSpPr>
      </xdr:nvSpPr>
      <xdr:spPr>
        <a:xfrm>
          <a:off x="3238500" y="2714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22</xdr:row>
      <xdr:rowOff>0</xdr:rowOff>
    </xdr:to>
    <xdr:grpSp>
      <xdr:nvGrpSpPr>
        <xdr:cNvPr id="52" name="Group 200"/>
        <xdr:cNvGrpSpPr>
          <a:grpSpLocks/>
        </xdr:cNvGrpSpPr>
      </xdr:nvGrpSpPr>
      <xdr:grpSpPr>
        <a:xfrm>
          <a:off x="9391650" y="2714625"/>
          <a:ext cx="323850" cy="428625"/>
          <a:chOff x="850" y="555"/>
          <a:chExt cx="34" cy="45"/>
        </a:xfrm>
        <a:solidFill>
          <a:srgbClr val="FFFFFF"/>
        </a:solidFill>
      </xdr:grpSpPr>
      <xdr:sp>
        <xdr:nvSpPr>
          <xdr:cNvPr id="53" name="Line 201"/>
          <xdr:cNvSpPr>
            <a:spLocks/>
          </xdr:cNvSpPr>
        </xdr:nvSpPr>
        <xdr:spPr>
          <a:xfrm>
            <a:off x="850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Line 202"/>
          <xdr:cNvSpPr>
            <a:spLocks/>
          </xdr:cNvSpPr>
        </xdr:nvSpPr>
        <xdr:spPr>
          <a:xfrm>
            <a:off x="850" y="60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Line 203"/>
          <xdr:cNvSpPr>
            <a:spLocks/>
          </xdr:cNvSpPr>
        </xdr:nvSpPr>
        <xdr:spPr>
          <a:xfrm flipV="1">
            <a:off x="884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6" name="Line 204"/>
          <xdr:cNvSpPr>
            <a:spLocks/>
          </xdr:cNvSpPr>
        </xdr:nvSpPr>
        <xdr:spPr>
          <a:xfrm flipH="1">
            <a:off x="851" y="594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7" name="Line 205"/>
          <xdr:cNvSpPr>
            <a:spLocks/>
          </xdr:cNvSpPr>
        </xdr:nvSpPr>
        <xdr:spPr>
          <a:xfrm>
            <a:off x="870" y="561"/>
            <a:ext cx="0" cy="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Line 206"/>
          <xdr:cNvSpPr>
            <a:spLocks/>
          </xdr:cNvSpPr>
        </xdr:nvSpPr>
        <xdr:spPr>
          <a:xfrm flipV="1">
            <a:off x="863" y="573"/>
            <a:ext cx="7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Line 207"/>
          <xdr:cNvSpPr>
            <a:spLocks/>
          </xdr:cNvSpPr>
        </xdr:nvSpPr>
        <xdr:spPr>
          <a:xfrm flipV="1">
            <a:off x="863" y="586"/>
            <a:ext cx="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Line 208"/>
          <xdr:cNvSpPr>
            <a:spLocks/>
          </xdr:cNvSpPr>
        </xdr:nvSpPr>
        <xdr:spPr>
          <a:xfrm flipV="1">
            <a:off x="85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Line 209"/>
          <xdr:cNvSpPr>
            <a:spLocks/>
          </xdr:cNvSpPr>
        </xdr:nvSpPr>
        <xdr:spPr>
          <a:xfrm flipV="1">
            <a:off x="863" y="568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Line 210"/>
          <xdr:cNvSpPr>
            <a:spLocks/>
          </xdr:cNvSpPr>
        </xdr:nvSpPr>
        <xdr:spPr>
          <a:xfrm flipV="1">
            <a:off x="863" y="579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Line 211"/>
          <xdr:cNvSpPr>
            <a:spLocks/>
          </xdr:cNvSpPr>
        </xdr:nvSpPr>
        <xdr:spPr>
          <a:xfrm flipV="1">
            <a:off x="87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Line 212"/>
          <xdr:cNvSpPr>
            <a:spLocks/>
          </xdr:cNvSpPr>
        </xdr:nvSpPr>
        <xdr:spPr>
          <a:xfrm flipV="1">
            <a:off x="86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Line 213"/>
          <xdr:cNvSpPr>
            <a:spLocks/>
          </xdr:cNvSpPr>
        </xdr:nvSpPr>
        <xdr:spPr>
          <a:xfrm>
            <a:off x="850" y="561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Line 214"/>
          <xdr:cNvSpPr>
            <a:spLocks/>
          </xdr:cNvSpPr>
        </xdr:nvSpPr>
        <xdr:spPr>
          <a:xfrm flipV="1">
            <a:off x="884" y="555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Line 215"/>
          <xdr:cNvSpPr>
            <a:spLocks/>
          </xdr:cNvSpPr>
        </xdr:nvSpPr>
        <xdr:spPr>
          <a:xfrm flipH="1">
            <a:off x="851" y="555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Line 216"/>
          <xdr:cNvSpPr>
            <a:spLocks/>
          </xdr:cNvSpPr>
        </xdr:nvSpPr>
        <xdr:spPr>
          <a:xfrm flipV="1">
            <a:off x="863" y="555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Line 217"/>
          <xdr:cNvSpPr>
            <a:spLocks/>
          </xdr:cNvSpPr>
        </xdr:nvSpPr>
        <xdr:spPr>
          <a:xfrm flipV="1">
            <a:off x="850" y="555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Line 218"/>
          <xdr:cNvSpPr>
            <a:spLocks/>
          </xdr:cNvSpPr>
        </xdr:nvSpPr>
        <xdr:spPr>
          <a:xfrm flipV="1">
            <a:off x="864" y="555"/>
            <a:ext cx="1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Line 219"/>
          <xdr:cNvSpPr>
            <a:spLocks/>
          </xdr:cNvSpPr>
        </xdr:nvSpPr>
        <xdr:spPr>
          <a:xfrm flipV="1">
            <a:off x="850" y="555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220"/>
          <xdr:cNvSpPr>
            <a:spLocks/>
          </xdr:cNvSpPr>
        </xdr:nvSpPr>
        <xdr:spPr>
          <a:xfrm>
            <a:off x="863" y="560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22</xdr:row>
      <xdr:rowOff>0</xdr:rowOff>
    </xdr:to>
    <xdr:grpSp>
      <xdr:nvGrpSpPr>
        <xdr:cNvPr id="73" name="Group 221"/>
        <xdr:cNvGrpSpPr>
          <a:grpSpLocks/>
        </xdr:cNvGrpSpPr>
      </xdr:nvGrpSpPr>
      <xdr:grpSpPr>
        <a:xfrm>
          <a:off x="8743950" y="2714625"/>
          <a:ext cx="323850" cy="428625"/>
          <a:chOff x="782" y="555"/>
          <a:chExt cx="34" cy="45"/>
        </a:xfrm>
        <a:solidFill>
          <a:srgbClr val="FFFFFF"/>
        </a:solidFill>
      </xdr:grpSpPr>
      <xdr:sp>
        <xdr:nvSpPr>
          <xdr:cNvPr id="74" name="Line 222"/>
          <xdr:cNvSpPr>
            <a:spLocks/>
          </xdr:cNvSpPr>
        </xdr:nvSpPr>
        <xdr:spPr>
          <a:xfrm>
            <a:off x="782" y="55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Line 223"/>
          <xdr:cNvSpPr>
            <a:spLocks/>
          </xdr:cNvSpPr>
        </xdr:nvSpPr>
        <xdr:spPr>
          <a:xfrm>
            <a:off x="782" y="60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Line 224"/>
          <xdr:cNvSpPr>
            <a:spLocks/>
          </xdr:cNvSpPr>
        </xdr:nvSpPr>
        <xdr:spPr>
          <a:xfrm flipV="1">
            <a:off x="816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Line 225"/>
          <xdr:cNvSpPr>
            <a:spLocks/>
          </xdr:cNvSpPr>
        </xdr:nvSpPr>
        <xdr:spPr>
          <a:xfrm flipH="1">
            <a:off x="791" y="594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Line 226"/>
          <xdr:cNvSpPr>
            <a:spLocks/>
          </xdr:cNvSpPr>
        </xdr:nvSpPr>
        <xdr:spPr>
          <a:xfrm>
            <a:off x="790" y="561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9" name="Line 227"/>
          <xdr:cNvSpPr>
            <a:spLocks/>
          </xdr:cNvSpPr>
        </xdr:nvSpPr>
        <xdr:spPr>
          <a:xfrm>
            <a:off x="782" y="555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0" name="Line 228"/>
          <xdr:cNvSpPr>
            <a:spLocks/>
          </xdr:cNvSpPr>
        </xdr:nvSpPr>
        <xdr:spPr>
          <a:xfrm flipV="1">
            <a:off x="782" y="556"/>
            <a:ext cx="2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229"/>
          <xdr:cNvSpPr>
            <a:spLocks/>
          </xdr:cNvSpPr>
        </xdr:nvSpPr>
        <xdr:spPr>
          <a:xfrm flipV="1">
            <a:off x="782" y="57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230"/>
          <xdr:cNvSpPr>
            <a:spLocks/>
          </xdr:cNvSpPr>
        </xdr:nvSpPr>
        <xdr:spPr>
          <a:xfrm flipV="1">
            <a:off x="782" y="586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231"/>
          <xdr:cNvSpPr>
            <a:spLocks/>
          </xdr:cNvSpPr>
        </xdr:nvSpPr>
        <xdr:spPr>
          <a:xfrm flipV="1">
            <a:off x="78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232"/>
          <xdr:cNvSpPr>
            <a:spLocks/>
          </xdr:cNvSpPr>
        </xdr:nvSpPr>
        <xdr:spPr>
          <a:xfrm flipV="1">
            <a:off x="782" y="568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233"/>
          <xdr:cNvSpPr>
            <a:spLocks/>
          </xdr:cNvSpPr>
        </xdr:nvSpPr>
        <xdr:spPr>
          <a:xfrm flipV="1">
            <a:off x="782" y="555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234"/>
          <xdr:cNvSpPr>
            <a:spLocks/>
          </xdr:cNvSpPr>
        </xdr:nvSpPr>
        <xdr:spPr>
          <a:xfrm flipV="1">
            <a:off x="782" y="580"/>
            <a:ext cx="7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235"/>
          <xdr:cNvSpPr>
            <a:spLocks/>
          </xdr:cNvSpPr>
        </xdr:nvSpPr>
        <xdr:spPr>
          <a:xfrm flipV="1">
            <a:off x="80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Line 236"/>
          <xdr:cNvSpPr>
            <a:spLocks/>
          </xdr:cNvSpPr>
        </xdr:nvSpPr>
        <xdr:spPr>
          <a:xfrm flipV="1">
            <a:off x="782" y="591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9" name="Line 237"/>
          <xdr:cNvSpPr>
            <a:spLocks/>
          </xdr:cNvSpPr>
        </xdr:nvSpPr>
        <xdr:spPr>
          <a:xfrm flipV="1">
            <a:off x="79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0" name="Line 238"/>
          <xdr:cNvSpPr>
            <a:spLocks/>
          </xdr:cNvSpPr>
        </xdr:nvSpPr>
        <xdr:spPr>
          <a:xfrm>
            <a:off x="791" y="561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1" name="Line 239"/>
          <xdr:cNvSpPr>
            <a:spLocks/>
          </xdr:cNvSpPr>
        </xdr:nvSpPr>
        <xdr:spPr>
          <a:xfrm flipV="1">
            <a:off x="816" y="555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2" name="Line 240"/>
          <xdr:cNvSpPr>
            <a:spLocks/>
          </xdr:cNvSpPr>
        </xdr:nvSpPr>
        <xdr:spPr>
          <a:xfrm flipV="1">
            <a:off x="809" y="557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19</xdr:row>
      <xdr:rowOff>0</xdr:rowOff>
    </xdr:from>
    <xdr:to>
      <xdr:col>25</xdr:col>
      <xdr:colOff>200025</xdr:colOff>
      <xdr:row>22</xdr:row>
      <xdr:rowOff>0</xdr:rowOff>
    </xdr:to>
    <xdr:grpSp>
      <xdr:nvGrpSpPr>
        <xdr:cNvPr id="93" name="Group 241"/>
        <xdr:cNvGrpSpPr>
          <a:grpSpLocks/>
        </xdr:cNvGrpSpPr>
      </xdr:nvGrpSpPr>
      <xdr:grpSpPr>
        <a:xfrm>
          <a:off x="8058150" y="2714625"/>
          <a:ext cx="238125" cy="428625"/>
          <a:chOff x="914" y="555"/>
          <a:chExt cx="25" cy="45"/>
        </a:xfrm>
        <a:solidFill>
          <a:srgbClr val="FFFFFF"/>
        </a:solidFill>
      </xdr:grpSpPr>
      <xdr:sp>
        <xdr:nvSpPr>
          <xdr:cNvPr id="94" name="Line 242"/>
          <xdr:cNvSpPr>
            <a:spLocks/>
          </xdr:cNvSpPr>
        </xdr:nvSpPr>
        <xdr:spPr>
          <a:xfrm>
            <a:off x="914" y="55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5" name="Line 243"/>
          <xdr:cNvSpPr>
            <a:spLocks/>
          </xdr:cNvSpPr>
        </xdr:nvSpPr>
        <xdr:spPr>
          <a:xfrm>
            <a:off x="914" y="600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6" name="Line 244"/>
          <xdr:cNvSpPr>
            <a:spLocks/>
          </xdr:cNvSpPr>
        </xdr:nvSpPr>
        <xdr:spPr>
          <a:xfrm flipV="1">
            <a:off x="939" y="592"/>
            <a:ext cx="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7" name="Line 245"/>
          <xdr:cNvSpPr>
            <a:spLocks/>
          </xdr:cNvSpPr>
        </xdr:nvSpPr>
        <xdr:spPr>
          <a:xfrm flipH="1">
            <a:off x="922" y="593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8" name="Line 246"/>
          <xdr:cNvSpPr>
            <a:spLocks/>
          </xdr:cNvSpPr>
        </xdr:nvSpPr>
        <xdr:spPr>
          <a:xfrm>
            <a:off x="922" y="555"/>
            <a:ext cx="0" cy="3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9" name="Line 247"/>
          <xdr:cNvSpPr>
            <a:spLocks/>
          </xdr:cNvSpPr>
        </xdr:nvSpPr>
        <xdr:spPr>
          <a:xfrm>
            <a:off x="914" y="555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0" name="Line 248"/>
          <xdr:cNvSpPr>
            <a:spLocks/>
          </xdr:cNvSpPr>
        </xdr:nvSpPr>
        <xdr:spPr>
          <a:xfrm flipV="1">
            <a:off x="914" y="561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1" name="Line 249"/>
          <xdr:cNvSpPr>
            <a:spLocks/>
          </xdr:cNvSpPr>
        </xdr:nvSpPr>
        <xdr:spPr>
          <a:xfrm flipV="1">
            <a:off x="914" y="572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2" name="Line 250"/>
          <xdr:cNvSpPr>
            <a:spLocks/>
          </xdr:cNvSpPr>
        </xdr:nvSpPr>
        <xdr:spPr>
          <a:xfrm flipV="1">
            <a:off x="914" y="584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3" name="Line 251"/>
          <xdr:cNvSpPr>
            <a:spLocks/>
          </xdr:cNvSpPr>
        </xdr:nvSpPr>
        <xdr:spPr>
          <a:xfrm flipV="1">
            <a:off x="914" y="593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4" name="Line 252"/>
          <xdr:cNvSpPr>
            <a:spLocks/>
          </xdr:cNvSpPr>
        </xdr:nvSpPr>
        <xdr:spPr>
          <a:xfrm flipV="1">
            <a:off x="914" y="567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5" name="Line 253"/>
          <xdr:cNvSpPr>
            <a:spLocks/>
          </xdr:cNvSpPr>
        </xdr:nvSpPr>
        <xdr:spPr>
          <a:xfrm flipV="1">
            <a:off x="914" y="555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6" name="Line 254"/>
          <xdr:cNvSpPr>
            <a:spLocks/>
          </xdr:cNvSpPr>
        </xdr:nvSpPr>
        <xdr:spPr>
          <a:xfrm flipV="1">
            <a:off x="914" y="578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7" name="Line 255"/>
          <xdr:cNvSpPr>
            <a:spLocks/>
          </xdr:cNvSpPr>
        </xdr:nvSpPr>
        <xdr:spPr>
          <a:xfrm flipV="1">
            <a:off x="929" y="594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8" name="Line 256"/>
          <xdr:cNvSpPr>
            <a:spLocks/>
          </xdr:cNvSpPr>
        </xdr:nvSpPr>
        <xdr:spPr>
          <a:xfrm flipV="1">
            <a:off x="914" y="589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 flipV="1">
            <a:off x="921" y="593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19</xdr:row>
      <xdr:rowOff>0</xdr:rowOff>
    </xdr:from>
    <xdr:to>
      <xdr:col>23</xdr:col>
      <xdr:colOff>38100</xdr:colOff>
      <xdr:row>22</xdr:row>
      <xdr:rowOff>0</xdr:rowOff>
    </xdr:to>
    <xdr:grpSp>
      <xdr:nvGrpSpPr>
        <xdr:cNvPr id="110" name="Group 258"/>
        <xdr:cNvGrpSpPr>
          <a:grpSpLocks/>
        </xdr:cNvGrpSpPr>
      </xdr:nvGrpSpPr>
      <xdr:grpSpPr>
        <a:xfrm>
          <a:off x="7419975" y="2714625"/>
          <a:ext cx="66675" cy="428625"/>
          <a:chOff x="630" y="285"/>
          <a:chExt cx="16" cy="60"/>
        </a:xfrm>
        <a:solidFill>
          <a:srgbClr val="FFFFFF"/>
        </a:solidFill>
      </xdr:grpSpPr>
      <xdr:sp>
        <xdr:nvSpPr>
          <xdr:cNvPr id="111" name="Line 259"/>
          <xdr:cNvSpPr>
            <a:spLocks/>
          </xdr:cNvSpPr>
        </xdr:nvSpPr>
        <xdr:spPr>
          <a:xfrm>
            <a:off x="630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2" name="Line 260"/>
          <xdr:cNvSpPr>
            <a:spLocks/>
          </xdr:cNvSpPr>
        </xdr:nvSpPr>
        <xdr:spPr>
          <a:xfrm>
            <a:off x="630" y="34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3" name="Line 261"/>
          <xdr:cNvSpPr>
            <a:spLocks/>
          </xdr:cNvSpPr>
        </xdr:nvSpPr>
        <xdr:spPr>
          <a:xfrm>
            <a:off x="646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4" name="Line 262"/>
          <xdr:cNvSpPr>
            <a:spLocks/>
          </xdr:cNvSpPr>
        </xdr:nvSpPr>
        <xdr:spPr>
          <a:xfrm>
            <a:off x="630" y="28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5" name="Line 263"/>
          <xdr:cNvSpPr>
            <a:spLocks/>
          </xdr:cNvSpPr>
        </xdr:nvSpPr>
        <xdr:spPr>
          <a:xfrm flipV="1">
            <a:off x="630" y="29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6" name="Line 264"/>
          <xdr:cNvSpPr>
            <a:spLocks/>
          </xdr:cNvSpPr>
        </xdr:nvSpPr>
        <xdr:spPr>
          <a:xfrm flipV="1">
            <a:off x="630" y="30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7" name="Line 265"/>
          <xdr:cNvSpPr>
            <a:spLocks/>
          </xdr:cNvSpPr>
        </xdr:nvSpPr>
        <xdr:spPr>
          <a:xfrm flipV="1">
            <a:off x="630" y="32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8" name="Line 266"/>
          <xdr:cNvSpPr>
            <a:spLocks/>
          </xdr:cNvSpPr>
        </xdr:nvSpPr>
        <xdr:spPr>
          <a:xfrm flipV="1">
            <a:off x="630" y="33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9" name="Line 267"/>
          <xdr:cNvSpPr>
            <a:spLocks/>
          </xdr:cNvSpPr>
        </xdr:nvSpPr>
        <xdr:spPr>
          <a:xfrm flipV="1">
            <a:off x="630" y="301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0" name="Line 268"/>
          <xdr:cNvSpPr>
            <a:spLocks/>
          </xdr:cNvSpPr>
        </xdr:nvSpPr>
        <xdr:spPr>
          <a:xfrm flipV="1">
            <a:off x="630" y="285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1" name="Line 269"/>
          <xdr:cNvSpPr>
            <a:spLocks/>
          </xdr:cNvSpPr>
        </xdr:nvSpPr>
        <xdr:spPr>
          <a:xfrm flipV="1">
            <a:off x="630" y="316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2" name="Line 270"/>
          <xdr:cNvSpPr>
            <a:spLocks/>
          </xdr:cNvSpPr>
        </xdr:nvSpPr>
        <xdr:spPr>
          <a:xfrm flipV="1">
            <a:off x="630" y="330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15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2428875"/>
          <a:ext cx="2914650" cy="2857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0</xdr:rowOff>
    </xdr:from>
    <xdr:to>
      <xdr:col>15</xdr:col>
      <xdr:colOff>47625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895475" y="25717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171450</xdr:colOff>
      <xdr:row>19</xdr:row>
      <xdr:rowOff>0</xdr:rowOff>
    </xdr:from>
    <xdr:to>
      <xdr:col>12</xdr:col>
      <xdr:colOff>0</xdr:colOff>
      <xdr:row>23</xdr:row>
      <xdr:rowOff>0</xdr:rowOff>
    </xdr:to>
    <xdr:grpSp>
      <xdr:nvGrpSpPr>
        <xdr:cNvPr id="3" name="Group 137"/>
        <xdr:cNvGrpSpPr>
          <a:grpSpLocks/>
        </xdr:cNvGrpSpPr>
      </xdr:nvGrpSpPr>
      <xdr:grpSpPr>
        <a:xfrm>
          <a:off x="3409950" y="2714625"/>
          <a:ext cx="476250" cy="571500"/>
          <a:chOff x="358" y="285"/>
          <a:chExt cx="50" cy="60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>
            <a:off x="358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358" y="345"/>
            <a:ext cx="5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V="1">
            <a:off x="408" y="330"/>
            <a:ext cx="0" cy="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H="1">
            <a:off x="374" y="33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374" y="28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58" y="28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58" y="29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358" y="30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358" y="32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358" y="330"/>
            <a:ext cx="34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358" y="301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358" y="285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358" y="316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388" y="337"/>
            <a:ext cx="1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 flipV="1">
            <a:off x="358" y="330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Line 23"/>
          <xdr:cNvSpPr>
            <a:spLocks/>
          </xdr:cNvSpPr>
        </xdr:nvSpPr>
        <xdr:spPr>
          <a:xfrm flipV="1">
            <a:off x="372" y="330"/>
            <a:ext cx="34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20" name="Line 28"/>
        <xdr:cNvSpPr>
          <a:spLocks/>
        </xdr:cNvSpPr>
      </xdr:nvSpPr>
      <xdr:spPr>
        <a:xfrm>
          <a:off x="1943100" y="22860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05450" y="2428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23</xdr:row>
      <xdr:rowOff>0</xdr:rowOff>
    </xdr:to>
    <xdr:sp>
      <xdr:nvSpPr>
        <xdr:cNvPr id="22" name="Line 30"/>
        <xdr:cNvSpPr>
          <a:spLocks/>
        </xdr:cNvSpPr>
      </xdr:nvSpPr>
      <xdr:spPr>
        <a:xfrm>
          <a:off x="5505450" y="27146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85725</xdr:colOff>
      <xdr:row>21</xdr:row>
      <xdr:rowOff>0</xdr:rowOff>
    </xdr:from>
    <xdr:to>
      <xdr:col>11</xdr:col>
      <xdr:colOff>104775</xdr:colOff>
      <xdr:row>21</xdr:row>
      <xdr:rowOff>0</xdr:rowOff>
    </xdr:to>
    <xdr:sp>
      <xdr:nvSpPr>
        <xdr:cNvPr id="23" name="Line 32"/>
        <xdr:cNvSpPr>
          <a:spLocks/>
        </xdr:cNvSpPr>
      </xdr:nvSpPr>
      <xdr:spPr>
        <a:xfrm>
          <a:off x="3324225" y="3000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95250</xdr:colOff>
      <xdr:row>20</xdr:row>
      <xdr:rowOff>0</xdr:rowOff>
    </xdr:from>
    <xdr:to>
      <xdr:col>11</xdr:col>
      <xdr:colOff>104775</xdr:colOff>
      <xdr:row>20</xdr:row>
      <xdr:rowOff>0</xdr:rowOff>
    </xdr:to>
    <xdr:sp>
      <xdr:nvSpPr>
        <xdr:cNvPr id="24" name="Line 33"/>
        <xdr:cNvSpPr>
          <a:spLocks/>
        </xdr:cNvSpPr>
      </xdr:nvSpPr>
      <xdr:spPr>
        <a:xfrm>
          <a:off x="3333750" y="28575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20</xdr:row>
      <xdr:rowOff>0</xdr:rowOff>
    </xdr:to>
    <xdr:sp>
      <xdr:nvSpPr>
        <xdr:cNvPr id="25" name="Line 35"/>
        <xdr:cNvSpPr>
          <a:spLocks/>
        </xdr:cNvSpPr>
      </xdr:nvSpPr>
      <xdr:spPr>
        <a:xfrm>
          <a:off x="1619250" y="24288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>
      <xdr:nvSpPr>
        <xdr:cNvPr id="26" name="Line 36"/>
        <xdr:cNvSpPr>
          <a:spLocks/>
        </xdr:cNvSpPr>
      </xdr:nvSpPr>
      <xdr:spPr>
        <a:xfrm>
          <a:off x="1619250" y="28575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23</xdr:row>
      <xdr:rowOff>0</xdr:rowOff>
    </xdr:to>
    <xdr:sp>
      <xdr:nvSpPr>
        <xdr:cNvPr id="27" name="Line 37"/>
        <xdr:cNvSpPr>
          <a:spLocks/>
        </xdr:cNvSpPr>
      </xdr:nvSpPr>
      <xdr:spPr>
        <a:xfrm>
          <a:off x="1295400" y="24288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180975</xdr:colOff>
      <xdr:row>19</xdr:row>
      <xdr:rowOff>57150</xdr:rowOff>
    </xdr:from>
    <xdr:to>
      <xdr:col>15</xdr:col>
      <xdr:colOff>171450</xdr:colOff>
      <xdr:row>20</xdr:row>
      <xdr:rowOff>57150</xdr:rowOff>
    </xdr:to>
    <xdr:sp>
      <xdr:nvSpPr>
        <xdr:cNvPr id="28" name="Rectangle 38"/>
        <xdr:cNvSpPr>
          <a:spLocks/>
        </xdr:cNvSpPr>
      </xdr:nvSpPr>
      <xdr:spPr>
        <a:xfrm>
          <a:off x="3743325" y="2771775"/>
          <a:ext cx="1285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C.G. of Combined Sect.</a:t>
          </a:r>
        </a:p>
      </xdr:txBody>
    </xdr:sp>
    <xdr:clientData/>
  </xdr:twoCellAnchor>
  <xdr:twoCellAnchor>
    <xdr:from>
      <xdr:col>11</xdr:col>
      <xdr:colOff>180975</xdr:colOff>
      <xdr:row>20</xdr:row>
      <xdr:rowOff>76200</xdr:rowOff>
    </xdr:from>
    <xdr:to>
      <xdr:col>15</xdr:col>
      <xdr:colOff>0</xdr:colOff>
      <xdr:row>21</xdr:row>
      <xdr:rowOff>76200</xdr:rowOff>
    </xdr:to>
    <xdr:sp>
      <xdr:nvSpPr>
        <xdr:cNvPr id="29" name="Rectangle 39"/>
        <xdr:cNvSpPr>
          <a:spLocks/>
        </xdr:cNvSpPr>
      </xdr:nvSpPr>
      <xdr:spPr>
        <a:xfrm>
          <a:off x="3743325" y="2933700"/>
          <a:ext cx="1114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C.G. of Stiffener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20</xdr:row>
      <xdr:rowOff>0</xdr:rowOff>
    </xdr:to>
    <xdr:sp>
      <xdr:nvSpPr>
        <xdr:cNvPr id="30" name="Line 41"/>
        <xdr:cNvSpPr>
          <a:spLocks/>
        </xdr:cNvSpPr>
      </xdr:nvSpPr>
      <xdr:spPr>
        <a:xfrm>
          <a:off x="2914650" y="2571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21</xdr:row>
      <xdr:rowOff>0</xdr:rowOff>
    </xdr:to>
    <xdr:sp>
      <xdr:nvSpPr>
        <xdr:cNvPr id="31" name="Line 42"/>
        <xdr:cNvSpPr>
          <a:spLocks/>
        </xdr:cNvSpPr>
      </xdr:nvSpPr>
      <xdr:spPr>
        <a:xfrm>
          <a:off x="2914650" y="2857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21</xdr:row>
      <xdr:rowOff>0</xdr:rowOff>
    </xdr:to>
    <xdr:sp>
      <xdr:nvSpPr>
        <xdr:cNvPr id="32" name="Line 43"/>
        <xdr:cNvSpPr>
          <a:spLocks/>
        </xdr:cNvSpPr>
      </xdr:nvSpPr>
      <xdr:spPr>
        <a:xfrm>
          <a:off x="2266950" y="2571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95250</xdr:rowOff>
    </xdr:from>
    <xdr:to>
      <xdr:col>6</xdr:col>
      <xdr:colOff>0</xdr:colOff>
      <xdr:row>16</xdr:row>
      <xdr:rowOff>85725</xdr:rowOff>
    </xdr:to>
    <xdr:sp>
      <xdr:nvSpPr>
        <xdr:cNvPr id="33" name="Line 44"/>
        <xdr:cNvSpPr>
          <a:spLocks/>
        </xdr:cNvSpPr>
      </xdr:nvSpPr>
      <xdr:spPr>
        <a:xfrm flipV="1">
          <a:off x="1943100" y="2238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104775</xdr:rowOff>
    </xdr:from>
    <xdr:to>
      <xdr:col>15</xdr:col>
      <xdr:colOff>0</xdr:colOff>
      <xdr:row>16</xdr:row>
      <xdr:rowOff>85725</xdr:rowOff>
    </xdr:to>
    <xdr:sp>
      <xdr:nvSpPr>
        <xdr:cNvPr id="34" name="Line 45"/>
        <xdr:cNvSpPr>
          <a:spLocks/>
        </xdr:cNvSpPr>
      </xdr:nvSpPr>
      <xdr:spPr>
        <a:xfrm flipV="1">
          <a:off x="4857750" y="2247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295275</xdr:colOff>
      <xdr:row>17</xdr:row>
      <xdr:rowOff>0</xdr:rowOff>
    </xdr:from>
    <xdr:to>
      <xdr:col>5</xdr:col>
      <xdr:colOff>247650</xdr:colOff>
      <xdr:row>17</xdr:row>
      <xdr:rowOff>0</xdr:rowOff>
    </xdr:to>
    <xdr:sp>
      <xdr:nvSpPr>
        <xdr:cNvPr id="35" name="Line 46"/>
        <xdr:cNvSpPr>
          <a:spLocks/>
        </xdr:cNvSpPr>
      </xdr:nvSpPr>
      <xdr:spPr>
        <a:xfrm flipH="1">
          <a:off x="1266825" y="2428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285750</xdr:colOff>
      <xdr:row>23</xdr:row>
      <xdr:rowOff>0</xdr:rowOff>
    </xdr:from>
    <xdr:to>
      <xdr:col>10</xdr:col>
      <xdr:colOff>66675</xdr:colOff>
      <xdr:row>23</xdr:row>
      <xdr:rowOff>0</xdr:rowOff>
    </xdr:to>
    <xdr:sp>
      <xdr:nvSpPr>
        <xdr:cNvPr id="36" name="Line 47"/>
        <xdr:cNvSpPr>
          <a:spLocks/>
        </xdr:cNvSpPr>
      </xdr:nvSpPr>
      <xdr:spPr>
        <a:xfrm flipH="1">
          <a:off x="1257300" y="32861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20</xdr:row>
      <xdr:rowOff>0</xdr:rowOff>
    </xdr:from>
    <xdr:to>
      <xdr:col>9</xdr:col>
      <xdr:colOff>28575</xdr:colOff>
      <xdr:row>20</xdr:row>
      <xdr:rowOff>0</xdr:rowOff>
    </xdr:to>
    <xdr:sp>
      <xdr:nvSpPr>
        <xdr:cNvPr id="37" name="Line 48"/>
        <xdr:cNvSpPr>
          <a:spLocks/>
        </xdr:cNvSpPr>
      </xdr:nvSpPr>
      <xdr:spPr>
        <a:xfrm flipH="1">
          <a:off x="2343150" y="2857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285750</xdr:colOff>
      <xdr:row>20</xdr:row>
      <xdr:rowOff>0</xdr:rowOff>
    </xdr:from>
    <xdr:to>
      <xdr:col>6</xdr:col>
      <xdr:colOff>66675</xdr:colOff>
      <xdr:row>20</xdr:row>
      <xdr:rowOff>0</xdr:rowOff>
    </xdr:to>
    <xdr:sp>
      <xdr:nvSpPr>
        <xdr:cNvPr id="38" name="Line 49"/>
        <xdr:cNvSpPr>
          <a:spLocks/>
        </xdr:cNvSpPr>
      </xdr:nvSpPr>
      <xdr:spPr>
        <a:xfrm flipH="1">
          <a:off x="1581150" y="2857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276225</xdr:colOff>
      <xdr:row>21</xdr:row>
      <xdr:rowOff>0</xdr:rowOff>
    </xdr:from>
    <xdr:to>
      <xdr:col>10</xdr:col>
      <xdr:colOff>28575</xdr:colOff>
      <xdr:row>21</xdr:row>
      <xdr:rowOff>0</xdr:rowOff>
    </xdr:to>
    <xdr:sp>
      <xdr:nvSpPr>
        <xdr:cNvPr id="39" name="Line 50"/>
        <xdr:cNvSpPr>
          <a:spLocks/>
        </xdr:cNvSpPr>
      </xdr:nvSpPr>
      <xdr:spPr>
        <a:xfrm flipH="1">
          <a:off x="2219325" y="3000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76200</xdr:colOff>
      <xdr:row>17</xdr:row>
      <xdr:rowOff>0</xdr:rowOff>
    </xdr:from>
    <xdr:to>
      <xdr:col>17</xdr:col>
      <xdr:colOff>38100</xdr:colOff>
      <xdr:row>17</xdr:row>
      <xdr:rowOff>0</xdr:rowOff>
    </xdr:to>
    <xdr:sp>
      <xdr:nvSpPr>
        <xdr:cNvPr id="40" name="Line 51"/>
        <xdr:cNvSpPr>
          <a:spLocks/>
        </xdr:cNvSpPr>
      </xdr:nvSpPr>
      <xdr:spPr>
        <a:xfrm>
          <a:off x="4933950" y="2428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85725</xdr:colOff>
      <xdr:row>19</xdr:row>
      <xdr:rowOff>0</xdr:rowOff>
    </xdr:from>
    <xdr:to>
      <xdr:col>17</xdr:col>
      <xdr:colOff>47625</xdr:colOff>
      <xdr:row>19</xdr:row>
      <xdr:rowOff>0</xdr:rowOff>
    </xdr:to>
    <xdr:sp>
      <xdr:nvSpPr>
        <xdr:cNvPr id="41" name="Line 52"/>
        <xdr:cNvSpPr>
          <a:spLocks/>
        </xdr:cNvSpPr>
      </xdr:nvSpPr>
      <xdr:spPr>
        <a:xfrm>
          <a:off x="4943475" y="2714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104775</xdr:colOff>
      <xdr:row>23</xdr:row>
      <xdr:rowOff>0</xdr:rowOff>
    </xdr:from>
    <xdr:to>
      <xdr:col>17</xdr:col>
      <xdr:colOff>28575</xdr:colOff>
      <xdr:row>23</xdr:row>
      <xdr:rowOff>0</xdr:rowOff>
    </xdr:to>
    <xdr:sp>
      <xdr:nvSpPr>
        <xdr:cNvPr id="42" name="Line 53"/>
        <xdr:cNvSpPr>
          <a:spLocks/>
        </xdr:cNvSpPr>
      </xdr:nvSpPr>
      <xdr:spPr>
        <a:xfrm>
          <a:off x="3990975" y="32861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76200</xdr:rowOff>
    </xdr:from>
    <xdr:to>
      <xdr:col>11</xdr:col>
      <xdr:colOff>0</xdr:colOff>
      <xdr:row>24</xdr:row>
      <xdr:rowOff>38100</xdr:rowOff>
    </xdr:to>
    <xdr:sp>
      <xdr:nvSpPr>
        <xdr:cNvPr id="43" name="Line 54"/>
        <xdr:cNvSpPr>
          <a:spLocks/>
        </xdr:cNvSpPr>
      </xdr:nvSpPr>
      <xdr:spPr>
        <a:xfrm>
          <a:off x="3562350" y="33623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171450</xdr:colOff>
      <xdr:row>23</xdr:row>
      <xdr:rowOff>66675</xdr:rowOff>
    </xdr:from>
    <xdr:to>
      <xdr:col>10</xdr:col>
      <xdr:colOff>171450</xdr:colOff>
      <xdr:row>25</xdr:row>
      <xdr:rowOff>28575</xdr:rowOff>
    </xdr:to>
    <xdr:sp>
      <xdr:nvSpPr>
        <xdr:cNvPr id="44" name="Line 55"/>
        <xdr:cNvSpPr>
          <a:spLocks/>
        </xdr:cNvSpPr>
      </xdr:nvSpPr>
      <xdr:spPr>
        <a:xfrm>
          <a:off x="3409950" y="3352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95250</xdr:colOff>
      <xdr:row>22</xdr:row>
      <xdr:rowOff>0</xdr:rowOff>
    </xdr:from>
    <xdr:to>
      <xdr:col>13</xdr:col>
      <xdr:colOff>47625</xdr:colOff>
      <xdr:row>22</xdr:row>
      <xdr:rowOff>0</xdr:rowOff>
    </xdr:to>
    <xdr:sp>
      <xdr:nvSpPr>
        <xdr:cNvPr id="45" name="Line 60"/>
        <xdr:cNvSpPr>
          <a:spLocks/>
        </xdr:cNvSpPr>
      </xdr:nvSpPr>
      <xdr:spPr>
        <a:xfrm>
          <a:off x="3981450" y="3143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6" name="Line 61"/>
        <xdr:cNvSpPr>
          <a:spLocks/>
        </xdr:cNvSpPr>
      </xdr:nvSpPr>
      <xdr:spPr>
        <a:xfrm>
          <a:off x="421005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76200</xdr:rowOff>
    </xdr:from>
    <xdr:to>
      <xdr:col>12</xdr:col>
      <xdr:colOff>0</xdr:colOff>
      <xdr:row>25</xdr:row>
      <xdr:rowOff>38100</xdr:rowOff>
    </xdr:to>
    <xdr:sp>
      <xdr:nvSpPr>
        <xdr:cNvPr id="47" name="Line 62"/>
        <xdr:cNvSpPr>
          <a:spLocks/>
        </xdr:cNvSpPr>
      </xdr:nvSpPr>
      <xdr:spPr>
        <a:xfrm>
          <a:off x="3886200" y="3362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0</xdr:rowOff>
    </xdr:from>
    <xdr:to>
      <xdr:col>10</xdr:col>
      <xdr:colOff>161925</xdr:colOff>
      <xdr:row>24</xdr:row>
      <xdr:rowOff>0</xdr:rowOff>
    </xdr:to>
    <xdr:sp>
      <xdr:nvSpPr>
        <xdr:cNvPr id="48" name="Line 63"/>
        <xdr:cNvSpPr>
          <a:spLocks/>
        </xdr:cNvSpPr>
      </xdr:nvSpPr>
      <xdr:spPr>
        <a:xfrm>
          <a:off x="3067050" y="3429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171450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49" name="Line 64"/>
        <xdr:cNvSpPr>
          <a:spLocks/>
        </xdr:cNvSpPr>
      </xdr:nvSpPr>
      <xdr:spPr>
        <a:xfrm>
          <a:off x="3409950" y="3429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50" name="Line 65"/>
        <xdr:cNvSpPr>
          <a:spLocks/>
        </xdr:cNvSpPr>
      </xdr:nvSpPr>
      <xdr:spPr>
        <a:xfrm>
          <a:off x="3409950" y="3571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>
      <xdr:nvSpPr>
        <xdr:cNvPr id="51" name="Line 68"/>
        <xdr:cNvSpPr>
          <a:spLocks/>
        </xdr:cNvSpPr>
      </xdr:nvSpPr>
      <xdr:spPr>
        <a:xfrm>
          <a:off x="3238500" y="2714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22</xdr:row>
      <xdr:rowOff>0</xdr:rowOff>
    </xdr:to>
    <xdr:grpSp>
      <xdr:nvGrpSpPr>
        <xdr:cNvPr id="52" name="Group 142"/>
        <xdr:cNvGrpSpPr>
          <a:grpSpLocks/>
        </xdr:cNvGrpSpPr>
      </xdr:nvGrpSpPr>
      <xdr:grpSpPr>
        <a:xfrm>
          <a:off x="9391650" y="2714625"/>
          <a:ext cx="323850" cy="428625"/>
          <a:chOff x="850" y="555"/>
          <a:chExt cx="34" cy="45"/>
        </a:xfrm>
        <a:solidFill>
          <a:srgbClr val="FFFFFF"/>
        </a:solidFill>
      </xdr:grpSpPr>
      <xdr:sp>
        <xdr:nvSpPr>
          <xdr:cNvPr id="53" name="Line 143"/>
          <xdr:cNvSpPr>
            <a:spLocks/>
          </xdr:cNvSpPr>
        </xdr:nvSpPr>
        <xdr:spPr>
          <a:xfrm>
            <a:off x="850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Line 144"/>
          <xdr:cNvSpPr>
            <a:spLocks/>
          </xdr:cNvSpPr>
        </xdr:nvSpPr>
        <xdr:spPr>
          <a:xfrm>
            <a:off x="850" y="60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Line 145"/>
          <xdr:cNvSpPr>
            <a:spLocks/>
          </xdr:cNvSpPr>
        </xdr:nvSpPr>
        <xdr:spPr>
          <a:xfrm flipV="1">
            <a:off x="884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6" name="Line 146"/>
          <xdr:cNvSpPr>
            <a:spLocks/>
          </xdr:cNvSpPr>
        </xdr:nvSpPr>
        <xdr:spPr>
          <a:xfrm flipH="1">
            <a:off x="851" y="594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7" name="Line 147"/>
          <xdr:cNvSpPr>
            <a:spLocks/>
          </xdr:cNvSpPr>
        </xdr:nvSpPr>
        <xdr:spPr>
          <a:xfrm>
            <a:off x="870" y="561"/>
            <a:ext cx="0" cy="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Line 148"/>
          <xdr:cNvSpPr>
            <a:spLocks/>
          </xdr:cNvSpPr>
        </xdr:nvSpPr>
        <xdr:spPr>
          <a:xfrm flipV="1">
            <a:off x="863" y="573"/>
            <a:ext cx="7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Line 149"/>
          <xdr:cNvSpPr>
            <a:spLocks/>
          </xdr:cNvSpPr>
        </xdr:nvSpPr>
        <xdr:spPr>
          <a:xfrm flipV="1">
            <a:off x="863" y="586"/>
            <a:ext cx="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Line 150"/>
          <xdr:cNvSpPr>
            <a:spLocks/>
          </xdr:cNvSpPr>
        </xdr:nvSpPr>
        <xdr:spPr>
          <a:xfrm flipV="1">
            <a:off x="85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Line 151"/>
          <xdr:cNvSpPr>
            <a:spLocks/>
          </xdr:cNvSpPr>
        </xdr:nvSpPr>
        <xdr:spPr>
          <a:xfrm flipV="1">
            <a:off x="863" y="568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Line 152"/>
          <xdr:cNvSpPr>
            <a:spLocks/>
          </xdr:cNvSpPr>
        </xdr:nvSpPr>
        <xdr:spPr>
          <a:xfrm flipV="1">
            <a:off x="863" y="579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Line 153"/>
          <xdr:cNvSpPr>
            <a:spLocks/>
          </xdr:cNvSpPr>
        </xdr:nvSpPr>
        <xdr:spPr>
          <a:xfrm flipV="1">
            <a:off x="87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Line 154"/>
          <xdr:cNvSpPr>
            <a:spLocks/>
          </xdr:cNvSpPr>
        </xdr:nvSpPr>
        <xdr:spPr>
          <a:xfrm flipV="1">
            <a:off x="860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Line 155"/>
          <xdr:cNvSpPr>
            <a:spLocks/>
          </xdr:cNvSpPr>
        </xdr:nvSpPr>
        <xdr:spPr>
          <a:xfrm>
            <a:off x="850" y="561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Line 156"/>
          <xdr:cNvSpPr>
            <a:spLocks/>
          </xdr:cNvSpPr>
        </xdr:nvSpPr>
        <xdr:spPr>
          <a:xfrm flipV="1">
            <a:off x="884" y="555"/>
            <a:ext cx="0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Line 157"/>
          <xdr:cNvSpPr>
            <a:spLocks/>
          </xdr:cNvSpPr>
        </xdr:nvSpPr>
        <xdr:spPr>
          <a:xfrm flipH="1">
            <a:off x="851" y="555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Line 158"/>
          <xdr:cNvSpPr>
            <a:spLocks/>
          </xdr:cNvSpPr>
        </xdr:nvSpPr>
        <xdr:spPr>
          <a:xfrm flipV="1">
            <a:off x="863" y="555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Line 159"/>
          <xdr:cNvSpPr>
            <a:spLocks/>
          </xdr:cNvSpPr>
        </xdr:nvSpPr>
        <xdr:spPr>
          <a:xfrm flipV="1">
            <a:off x="850" y="555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Line 160"/>
          <xdr:cNvSpPr>
            <a:spLocks/>
          </xdr:cNvSpPr>
        </xdr:nvSpPr>
        <xdr:spPr>
          <a:xfrm flipV="1">
            <a:off x="864" y="555"/>
            <a:ext cx="1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Line 161"/>
          <xdr:cNvSpPr>
            <a:spLocks/>
          </xdr:cNvSpPr>
        </xdr:nvSpPr>
        <xdr:spPr>
          <a:xfrm flipV="1">
            <a:off x="850" y="555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Line 162"/>
          <xdr:cNvSpPr>
            <a:spLocks/>
          </xdr:cNvSpPr>
        </xdr:nvSpPr>
        <xdr:spPr>
          <a:xfrm>
            <a:off x="863" y="560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22</xdr:row>
      <xdr:rowOff>0</xdr:rowOff>
    </xdr:to>
    <xdr:grpSp>
      <xdr:nvGrpSpPr>
        <xdr:cNvPr id="73" name="Group 163"/>
        <xdr:cNvGrpSpPr>
          <a:grpSpLocks/>
        </xdr:cNvGrpSpPr>
      </xdr:nvGrpSpPr>
      <xdr:grpSpPr>
        <a:xfrm>
          <a:off x="8743950" y="2714625"/>
          <a:ext cx="323850" cy="428625"/>
          <a:chOff x="782" y="555"/>
          <a:chExt cx="34" cy="45"/>
        </a:xfrm>
        <a:solidFill>
          <a:srgbClr val="FFFFFF"/>
        </a:solidFill>
      </xdr:grpSpPr>
      <xdr:sp>
        <xdr:nvSpPr>
          <xdr:cNvPr id="74" name="Line 164"/>
          <xdr:cNvSpPr>
            <a:spLocks/>
          </xdr:cNvSpPr>
        </xdr:nvSpPr>
        <xdr:spPr>
          <a:xfrm>
            <a:off x="782" y="55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Line 165"/>
          <xdr:cNvSpPr>
            <a:spLocks/>
          </xdr:cNvSpPr>
        </xdr:nvSpPr>
        <xdr:spPr>
          <a:xfrm>
            <a:off x="782" y="600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Line 166"/>
          <xdr:cNvSpPr>
            <a:spLocks/>
          </xdr:cNvSpPr>
        </xdr:nvSpPr>
        <xdr:spPr>
          <a:xfrm flipV="1">
            <a:off x="816" y="594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Line 167"/>
          <xdr:cNvSpPr>
            <a:spLocks/>
          </xdr:cNvSpPr>
        </xdr:nvSpPr>
        <xdr:spPr>
          <a:xfrm flipH="1">
            <a:off x="791" y="594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Line 168"/>
          <xdr:cNvSpPr>
            <a:spLocks/>
          </xdr:cNvSpPr>
        </xdr:nvSpPr>
        <xdr:spPr>
          <a:xfrm>
            <a:off x="790" y="561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9" name="Line 169"/>
          <xdr:cNvSpPr>
            <a:spLocks/>
          </xdr:cNvSpPr>
        </xdr:nvSpPr>
        <xdr:spPr>
          <a:xfrm>
            <a:off x="782" y="555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0" name="Line 170"/>
          <xdr:cNvSpPr>
            <a:spLocks/>
          </xdr:cNvSpPr>
        </xdr:nvSpPr>
        <xdr:spPr>
          <a:xfrm flipV="1">
            <a:off x="782" y="556"/>
            <a:ext cx="2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Line 171"/>
          <xdr:cNvSpPr>
            <a:spLocks/>
          </xdr:cNvSpPr>
        </xdr:nvSpPr>
        <xdr:spPr>
          <a:xfrm flipV="1">
            <a:off x="782" y="57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Line 172"/>
          <xdr:cNvSpPr>
            <a:spLocks/>
          </xdr:cNvSpPr>
        </xdr:nvSpPr>
        <xdr:spPr>
          <a:xfrm flipV="1">
            <a:off x="782" y="586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Line 173"/>
          <xdr:cNvSpPr>
            <a:spLocks/>
          </xdr:cNvSpPr>
        </xdr:nvSpPr>
        <xdr:spPr>
          <a:xfrm flipV="1">
            <a:off x="78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174"/>
          <xdr:cNvSpPr>
            <a:spLocks/>
          </xdr:cNvSpPr>
        </xdr:nvSpPr>
        <xdr:spPr>
          <a:xfrm flipV="1">
            <a:off x="782" y="568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175"/>
          <xdr:cNvSpPr>
            <a:spLocks/>
          </xdr:cNvSpPr>
        </xdr:nvSpPr>
        <xdr:spPr>
          <a:xfrm flipV="1">
            <a:off x="782" y="555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176"/>
          <xdr:cNvSpPr>
            <a:spLocks/>
          </xdr:cNvSpPr>
        </xdr:nvSpPr>
        <xdr:spPr>
          <a:xfrm flipV="1">
            <a:off x="782" y="580"/>
            <a:ext cx="7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177"/>
          <xdr:cNvSpPr>
            <a:spLocks/>
          </xdr:cNvSpPr>
        </xdr:nvSpPr>
        <xdr:spPr>
          <a:xfrm flipV="1">
            <a:off x="80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Line 178"/>
          <xdr:cNvSpPr>
            <a:spLocks/>
          </xdr:cNvSpPr>
        </xdr:nvSpPr>
        <xdr:spPr>
          <a:xfrm flipV="1">
            <a:off x="782" y="591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9" name="Line 179"/>
          <xdr:cNvSpPr>
            <a:spLocks/>
          </xdr:cNvSpPr>
        </xdr:nvSpPr>
        <xdr:spPr>
          <a:xfrm flipV="1">
            <a:off x="792" y="594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0" name="Line 180"/>
          <xdr:cNvSpPr>
            <a:spLocks/>
          </xdr:cNvSpPr>
        </xdr:nvSpPr>
        <xdr:spPr>
          <a:xfrm>
            <a:off x="791" y="561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1" name="Line 181"/>
          <xdr:cNvSpPr>
            <a:spLocks/>
          </xdr:cNvSpPr>
        </xdr:nvSpPr>
        <xdr:spPr>
          <a:xfrm flipV="1">
            <a:off x="816" y="555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2" name="Line 182"/>
          <xdr:cNvSpPr>
            <a:spLocks/>
          </xdr:cNvSpPr>
        </xdr:nvSpPr>
        <xdr:spPr>
          <a:xfrm flipV="1">
            <a:off x="809" y="557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19</xdr:row>
      <xdr:rowOff>0</xdr:rowOff>
    </xdr:from>
    <xdr:to>
      <xdr:col>25</xdr:col>
      <xdr:colOff>200025</xdr:colOff>
      <xdr:row>22</xdr:row>
      <xdr:rowOff>0</xdr:rowOff>
    </xdr:to>
    <xdr:grpSp>
      <xdr:nvGrpSpPr>
        <xdr:cNvPr id="93" name="Group 183"/>
        <xdr:cNvGrpSpPr>
          <a:grpSpLocks/>
        </xdr:cNvGrpSpPr>
      </xdr:nvGrpSpPr>
      <xdr:grpSpPr>
        <a:xfrm>
          <a:off x="8058150" y="2714625"/>
          <a:ext cx="238125" cy="428625"/>
          <a:chOff x="914" y="555"/>
          <a:chExt cx="25" cy="45"/>
        </a:xfrm>
        <a:solidFill>
          <a:srgbClr val="FFFFFF"/>
        </a:solidFill>
      </xdr:grpSpPr>
      <xdr:sp>
        <xdr:nvSpPr>
          <xdr:cNvPr id="94" name="Line 184"/>
          <xdr:cNvSpPr>
            <a:spLocks/>
          </xdr:cNvSpPr>
        </xdr:nvSpPr>
        <xdr:spPr>
          <a:xfrm>
            <a:off x="914" y="555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5" name="Line 185"/>
          <xdr:cNvSpPr>
            <a:spLocks/>
          </xdr:cNvSpPr>
        </xdr:nvSpPr>
        <xdr:spPr>
          <a:xfrm>
            <a:off x="914" y="600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6" name="Line 186"/>
          <xdr:cNvSpPr>
            <a:spLocks/>
          </xdr:cNvSpPr>
        </xdr:nvSpPr>
        <xdr:spPr>
          <a:xfrm flipV="1">
            <a:off x="939" y="592"/>
            <a:ext cx="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7" name="Line 187"/>
          <xdr:cNvSpPr>
            <a:spLocks/>
          </xdr:cNvSpPr>
        </xdr:nvSpPr>
        <xdr:spPr>
          <a:xfrm flipH="1">
            <a:off x="922" y="593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8" name="Line 188"/>
          <xdr:cNvSpPr>
            <a:spLocks/>
          </xdr:cNvSpPr>
        </xdr:nvSpPr>
        <xdr:spPr>
          <a:xfrm>
            <a:off x="922" y="555"/>
            <a:ext cx="0" cy="3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9" name="Line 189"/>
          <xdr:cNvSpPr>
            <a:spLocks/>
          </xdr:cNvSpPr>
        </xdr:nvSpPr>
        <xdr:spPr>
          <a:xfrm>
            <a:off x="914" y="555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0" name="Line 190"/>
          <xdr:cNvSpPr>
            <a:spLocks/>
          </xdr:cNvSpPr>
        </xdr:nvSpPr>
        <xdr:spPr>
          <a:xfrm flipV="1">
            <a:off x="914" y="561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1" name="Line 191"/>
          <xdr:cNvSpPr>
            <a:spLocks/>
          </xdr:cNvSpPr>
        </xdr:nvSpPr>
        <xdr:spPr>
          <a:xfrm flipV="1">
            <a:off x="914" y="572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2" name="Line 192"/>
          <xdr:cNvSpPr>
            <a:spLocks/>
          </xdr:cNvSpPr>
        </xdr:nvSpPr>
        <xdr:spPr>
          <a:xfrm flipV="1">
            <a:off x="914" y="584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3" name="Line 193"/>
          <xdr:cNvSpPr>
            <a:spLocks/>
          </xdr:cNvSpPr>
        </xdr:nvSpPr>
        <xdr:spPr>
          <a:xfrm flipV="1">
            <a:off x="914" y="593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4" name="Line 194"/>
          <xdr:cNvSpPr>
            <a:spLocks/>
          </xdr:cNvSpPr>
        </xdr:nvSpPr>
        <xdr:spPr>
          <a:xfrm flipV="1">
            <a:off x="914" y="567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5" name="Line 195"/>
          <xdr:cNvSpPr>
            <a:spLocks/>
          </xdr:cNvSpPr>
        </xdr:nvSpPr>
        <xdr:spPr>
          <a:xfrm flipV="1">
            <a:off x="914" y="555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6" name="Line 196"/>
          <xdr:cNvSpPr>
            <a:spLocks/>
          </xdr:cNvSpPr>
        </xdr:nvSpPr>
        <xdr:spPr>
          <a:xfrm flipV="1">
            <a:off x="914" y="578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7" name="Line 197"/>
          <xdr:cNvSpPr>
            <a:spLocks/>
          </xdr:cNvSpPr>
        </xdr:nvSpPr>
        <xdr:spPr>
          <a:xfrm flipV="1">
            <a:off x="929" y="594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8" name="Line 198"/>
          <xdr:cNvSpPr>
            <a:spLocks/>
          </xdr:cNvSpPr>
        </xdr:nvSpPr>
        <xdr:spPr>
          <a:xfrm flipV="1">
            <a:off x="914" y="589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9" name="Line 199"/>
          <xdr:cNvSpPr>
            <a:spLocks/>
          </xdr:cNvSpPr>
        </xdr:nvSpPr>
        <xdr:spPr>
          <a:xfrm flipV="1">
            <a:off x="921" y="593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19</xdr:row>
      <xdr:rowOff>0</xdr:rowOff>
    </xdr:from>
    <xdr:to>
      <xdr:col>23</xdr:col>
      <xdr:colOff>38100</xdr:colOff>
      <xdr:row>22</xdr:row>
      <xdr:rowOff>0</xdr:rowOff>
    </xdr:to>
    <xdr:grpSp>
      <xdr:nvGrpSpPr>
        <xdr:cNvPr id="110" name="Group 200"/>
        <xdr:cNvGrpSpPr>
          <a:grpSpLocks/>
        </xdr:cNvGrpSpPr>
      </xdr:nvGrpSpPr>
      <xdr:grpSpPr>
        <a:xfrm>
          <a:off x="7419975" y="2714625"/>
          <a:ext cx="66675" cy="428625"/>
          <a:chOff x="630" y="285"/>
          <a:chExt cx="16" cy="60"/>
        </a:xfrm>
        <a:solidFill>
          <a:srgbClr val="FFFFFF"/>
        </a:solidFill>
      </xdr:grpSpPr>
      <xdr:sp>
        <xdr:nvSpPr>
          <xdr:cNvPr id="111" name="Line 201"/>
          <xdr:cNvSpPr>
            <a:spLocks/>
          </xdr:cNvSpPr>
        </xdr:nvSpPr>
        <xdr:spPr>
          <a:xfrm>
            <a:off x="630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2" name="Line 202"/>
          <xdr:cNvSpPr>
            <a:spLocks/>
          </xdr:cNvSpPr>
        </xdr:nvSpPr>
        <xdr:spPr>
          <a:xfrm>
            <a:off x="630" y="34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3" name="Line 203"/>
          <xdr:cNvSpPr>
            <a:spLocks/>
          </xdr:cNvSpPr>
        </xdr:nvSpPr>
        <xdr:spPr>
          <a:xfrm>
            <a:off x="646" y="285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4" name="Line 204"/>
          <xdr:cNvSpPr>
            <a:spLocks/>
          </xdr:cNvSpPr>
        </xdr:nvSpPr>
        <xdr:spPr>
          <a:xfrm>
            <a:off x="630" y="285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5" name="Line 205"/>
          <xdr:cNvSpPr>
            <a:spLocks/>
          </xdr:cNvSpPr>
        </xdr:nvSpPr>
        <xdr:spPr>
          <a:xfrm flipV="1">
            <a:off x="630" y="29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6" name="Line 206"/>
          <xdr:cNvSpPr>
            <a:spLocks/>
          </xdr:cNvSpPr>
        </xdr:nvSpPr>
        <xdr:spPr>
          <a:xfrm flipV="1">
            <a:off x="630" y="30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7" name="Line 207"/>
          <xdr:cNvSpPr>
            <a:spLocks/>
          </xdr:cNvSpPr>
        </xdr:nvSpPr>
        <xdr:spPr>
          <a:xfrm flipV="1">
            <a:off x="630" y="32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8" name="Line 208"/>
          <xdr:cNvSpPr>
            <a:spLocks/>
          </xdr:cNvSpPr>
        </xdr:nvSpPr>
        <xdr:spPr>
          <a:xfrm flipV="1">
            <a:off x="630" y="338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9" name="Line 209"/>
          <xdr:cNvSpPr>
            <a:spLocks/>
          </xdr:cNvSpPr>
        </xdr:nvSpPr>
        <xdr:spPr>
          <a:xfrm flipV="1">
            <a:off x="630" y="301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0" name="Line 210"/>
          <xdr:cNvSpPr>
            <a:spLocks/>
          </xdr:cNvSpPr>
        </xdr:nvSpPr>
        <xdr:spPr>
          <a:xfrm flipV="1">
            <a:off x="630" y="285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1" name="Line 211"/>
          <xdr:cNvSpPr>
            <a:spLocks/>
          </xdr:cNvSpPr>
        </xdr:nvSpPr>
        <xdr:spPr>
          <a:xfrm flipV="1">
            <a:off x="630" y="316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2" name="Line 212"/>
          <xdr:cNvSpPr>
            <a:spLocks/>
          </xdr:cNvSpPr>
        </xdr:nvSpPr>
        <xdr:spPr>
          <a:xfrm flipV="1">
            <a:off x="630" y="330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65"/>
  <sheetViews>
    <sheetView tabSelected="1" zoomScaleSheetLayoutView="100" workbookViewId="0" topLeftCell="A1">
      <selection activeCell="Q9" sqref="Q9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1" ht="11.25" customHeight="1">
      <c r="B1" s="133" t="s">
        <v>29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2:21" ht="11.25" customHeight="1">
      <c r="B2" s="136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2"/>
    </row>
    <row r="3" spans="1:23" ht="11.25" customHeight="1">
      <c r="A3" s="3">
        <v>1</v>
      </c>
      <c r="B3" s="4" t="s">
        <v>0</v>
      </c>
      <c r="C3" s="5"/>
      <c r="D3" s="5"/>
      <c r="E3" s="31" t="s">
        <v>13</v>
      </c>
      <c r="F3" s="5"/>
      <c r="G3" s="5"/>
      <c r="H3" s="5"/>
      <c r="I3" s="5"/>
      <c r="J3" s="5"/>
      <c r="K3" s="5"/>
      <c r="L3" s="5"/>
      <c r="M3" s="5"/>
      <c r="N3" s="5"/>
      <c r="O3" s="5"/>
      <c r="P3" s="15" t="str">
        <f>W3</f>
        <v>Job No.</v>
      </c>
      <c r="Q3" s="15"/>
      <c r="R3" s="146" t="s">
        <v>342</v>
      </c>
      <c r="S3" s="146"/>
      <c r="T3" s="146"/>
      <c r="U3" s="147"/>
      <c r="W3" s="127" t="s">
        <v>341</v>
      </c>
    </row>
    <row r="4" spans="1:21" ht="11.25" customHeight="1">
      <c r="A4" s="3">
        <v>2</v>
      </c>
      <c r="B4" s="7" t="s">
        <v>1</v>
      </c>
      <c r="C4" s="6"/>
      <c r="D4" s="6"/>
      <c r="E4" s="32" t="s">
        <v>14</v>
      </c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8</v>
      </c>
      <c r="Q4" s="6"/>
      <c r="R4" s="165" t="s">
        <v>45</v>
      </c>
      <c r="S4" s="165"/>
      <c r="T4" s="165"/>
      <c r="U4" s="174"/>
    </row>
    <row r="5" spans="1:21" ht="11.25" customHeight="1">
      <c r="A5" s="3">
        <v>3</v>
      </c>
      <c r="B5" s="7" t="s">
        <v>2</v>
      </c>
      <c r="C5" s="6"/>
      <c r="D5" s="6"/>
      <c r="E5" s="32" t="s"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</v>
      </c>
      <c r="Q5" s="6"/>
      <c r="R5" s="165" t="s">
        <v>352</v>
      </c>
      <c r="S5" s="165"/>
      <c r="T5" s="165"/>
      <c r="U5" s="174"/>
    </row>
    <row r="6" spans="1:21" ht="11.25" customHeight="1">
      <c r="A6" s="3">
        <v>4</v>
      </c>
      <c r="B6" s="10"/>
      <c r="C6" s="11"/>
      <c r="D6" s="11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 t="s">
        <v>9</v>
      </c>
      <c r="Q6" s="11"/>
      <c r="R6" s="113">
        <v>0</v>
      </c>
      <c r="S6" s="128"/>
      <c r="T6" s="128"/>
      <c r="U6" s="129"/>
    </row>
    <row r="7" spans="1:21" ht="11.25" customHeight="1">
      <c r="A7" s="3">
        <v>5</v>
      </c>
      <c r="B7" s="4" t="s">
        <v>16</v>
      </c>
      <c r="C7" s="5"/>
      <c r="D7" s="5"/>
      <c r="E7" s="31" t="s">
        <v>46</v>
      </c>
      <c r="F7" s="5"/>
      <c r="G7" s="5"/>
      <c r="H7" s="5"/>
      <c r="I7" s="5"/>
      <c r="J7" s="5"/>
      <c r="K7" s="5"/>
      <c r="L7" s="5"/>
      <c r="M7" s="13"/>
      <c r="N7" s="5"/>
      <c r="O7" s="5"/>
      <c r="P7" s="5" t="s">
        <v>4</v>
      </c>
      <c r="Q7" s="5"/>
      <c r="R7" s="168" t="s">
        <v>47</v>
      </c>
      <c r="S7" s="168"/>
      <c r="T7" s="168"/>
      <c r="U7" s="173"/>
    </row>
    <row r="8" spans="1:21" ht="11.25" customHeight="1">
      <c r="A8" s="3">
        <v>6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30"/>
      <c r="N8" s="6"/>
      <c r="O8" s="6"/>
      <c r="P8" s="6"/>
      <c r="Q8" s="6"/>
      <c r="R8" s="6"/>
      <c r="S8" s="165"/>
      <c r="T8" s="165"/>
      <c r="U8" s="1"/>
    </row>
    <row r="9" spans="1:21" ht="11.25" customHeight="1">
      <c r="A9" s="3">
        <v>7</v>
      </c>
      <c r="B9" s="18"/>
      <c r="H9" s="33"/>
      <c r="I9" s="9"/>
      <c r="J9" s="9"/>
      <c r="K9" s="11"/>
      <c r="L9" s="11"/>
      <c r="M9" s="41"/>
      <c r="O9" s="33"/>
      <c r="P9" s="11" t="s">
        <v>10</v>
      </c>
      <c r="Q9" s="11"/>
      <c r="R9" s="55">
        <v>1</v>
      </c>
      <c r="S9" s="160" t="s">
        <v>11</v>
      </c>
      <c r="T9" s="160"/>
      <c r="U9" s="56">
        <v>2</v>
      </c>
    </row>
    <row r="10" spans="1:23" ht="11.25" customHeight="1">
      <c r="A10" s="3">
        <v>8</v>
      </c>
      <c r="B10" s="140" t="s">
        <v>17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2"/>
      <c r="W10" s="37" t="s">
        <v>84</v>
      </c>
    </row>
    <row r="11" spans="1:25" ht="11.25" customHeight="1">
      <c r="A11" s="3">
        <v>9</v>
      </c>
      <c r="B11" s="7" t="s">
        <v>18</v>
      </c>
      <c r="C11" s="6"/>
      <c r="D11" s="6"/>
      <c r="E11" s="32" t="s">
        <v>19</v>
      </c>
      <c r="F11" s="6"/>
      <c r="G11" s="6"/>
      <c r="H11" s="6"/>
      <c r="I11" s="6"/>
      <c r="J11" s="6"/>
      <c r="K11" s="6"/>
      <c r="L11" s="43"/>
      <c r="M11" s="9"/>
      <c r="N11" s="9"/>
      <c r="O11" s="9"/>
      <c r="P11" s="169"/>
      <c r="Q11" s="169"/>
      <c r="R11" s="169"/>
      <c r="S11" s="9"/>
      <c r="T11" s="9"/>
      <c r="U11" s="45"/>
      <c r="W11" s="2" t="str">
        <f>F12</f>
        <v>Pressure</v>
      </c>
      <c r="Y11" s="2" t="s">
        <v>7</v>
      </c>
    </row>
    <row r="12" spans="1:25" ht="11.25" customHeight="1">
      <c r="A12" s="3">
        <v>10</v>
      </c>
      <c r="B12" s="18"/>
      <c r="C12" s="9"/>
      <c r="D12" s="9"/>
      <c r="E12" s="9"/>
      <c r="F12" s="130" t="s">
        <v>20</v>
      </c>
      <c r="G12" s="130"/>
      <c r="H12" s="130"/>
      <c r="I12" s="130" t="s">
        <v>21</v>
      </c>
      <c r="J12" s="130"/>
      <c r="K12" s="130"/>
      <c r="L12" s="18"/>
      <c r="M12" s="6"/>
      <c r="N12" s="6"/>
      <c r="O12" s="6"/>
      <c r="P12" s="163"/>
      <c r="Q12" s="163"/>
      <c r="R12" s="163"/>
      <c r="S12" s="39"/>
      <c r="T12" s="39"/>
      <c r="U12" s="40"/>
      <c r="W12" s="2" t="str">
        <f>I12</f>
        <v>Temperature</v>
      </c>
      <c r="Y12" s="2" t="s">
        <v>6</v>
      </c>
    </row>
    <row r="13" spans="1:21" ht="11.25" customHeight="1">
      <c r="A13" s="3">
        <v>11</v>
      </c>
      <c r="B13" s="7"/>
      <c r="C13" s="6"/>
      <c r="D13" s="6"/>
      <c r="E13" s="6"/>
      <c r="F13" s="169" t="str">
        <f>Y11</f>
        <v>kg/cm2.g</v>
      </c>
      <c r="G13" s="169"/>
      <c r="H13" s="169"/>
      <c r="I13" s="169" t="str">
        <f>Y12</f>
        <v>℃</v>
      </c>
      <c r="J13" s="169"/>
      <c r="K13" s="169"/>
      <c r="L13" s="7" t="s">
        <v>22</v>
      </c>
      <c r="M13" s="6"/>
      <c r="N13" s="6"/>
      <c r="O13" s="6"/>
      <c r="P13" s="165">
        <v>1.6</v>
      </c>
      <c r="Q13" s="165"/>
      <c r="R13" s="165"/>
      <c r="S13" s="39" t="s">
        <v>67</v>
      </c>
      <c r="T13" s="61"/>
      <c r="U13" s="62"/>
    </row>
    <row r="14" spans="1:21" ht="11.25" customHeight="1">
      <c r="A14" s="3">
        <v>12</v>
      </c>
      <c r="B14" s="18" t="s">
        <v>5</v>
      </c>
      <c r="C14" s="9"/>
      <c r="D14" s="9"/>
      <c r="E14" s="9"/>
      <c r="F14" s="165">
        <v>0.1</v>
      </c>
      <c r="G14" s="165"/>
      <c r="H14" s="165"/>
      <c r="I14" s="165">
        <v>150</v>
      </c>
      <c r="J14" s="165"/>
      <c r="K14" s="165"/>
      <c r="L14" s="21"/>
      <c r="U14" s="25"/>
    </row>
    <row r="15" spans="1:23" ht="11.25" customHeight="1">
      <c r="A15" s="3">
        <v>13</v>
      </c>
      <c r="B15" s="140" t="s">
        <v>58</v>
      </c>
      <c r="C15" s="141"/>
      <c r="D15" s="141"/>
      <c r="E15" s="141"/>
      <c r="F15" s="141"/>
      <c r="G15" s="141"/>
      <c r="H15" s="141"/>
      <c r="I15" s="141"/>
      <c r="J15" s="141"/>
      <c r="K15" s="142"/>
      <c r="L15" s="140" t="s">
        <v>59</v>
      </c>
      <c r="M15" s="141"/>
      <c r="N15" s="141"/>
      <c r="O15" s="141"/>
      <c r="P15" s="141"/>
      <c r="Q15" s="141"/>
      <c r="R15" s="141"/>
      <c r="S15" s="141"/>
      <c r="T15" s="141"/>
      <c r="U15" s="142"/>
      <c r="V15" s="34"/>
      <c r="W15" s="37" t="s">
        <v>49</v>
      </c>
    </row>
    <row r="16" spans="1:23" ht="11.25" customHeight="1">
      <c r="A16" s="3">
        <v>14</v>
      </c>
      <c r="B16" s="4" t="s">
        <v>23</v>
      </c>
      <c r="C16" s="5"/>
      <c r="D16" s="5"/>
      <c r="E16" s="57"/>
      <c r="F16" s="2" t="s">
        <v>356</v>
      </c>
      <c r="G16" s="5"/>
      <c r="H16" s="5"/>
      <c r="I16" s="31">
        <v>9</v>
      </c>
      <c r="J16" s="5" t="s">
        <v>24</v>
      </c>
      <c r="K16" s="5"/>
      <c r="L16" s="19"/>
      <c r="M16" s="20"/>
      <c r="N16" s="20"/>
      <c r="O16" s="60" t="str">
        <f>B17&amp;" "&amp;C19</f>
        <v> Stiffener Vert.</v>
      </c>
      <c r="P16" s="23" t="s">
        <v>50</v>
      </c>
      <c r="Q16" s="23">
        <f>IF(P17&lt;=0,0,INT(P23/P17)-IF(INT(P23/P17)=P23/P17,1))</f>
        <v>3</v>
      </c>
      <c r="R16" s="20"/>
      <c r="S16" s="20"/>
      <c r="T16" s="20"/>
      <c r="U16" s="22"/>
      <c r="W16" s="37" t="str">
        <f>B16</f>
        <v> Shell</v>
      </c>
    </row>
    <row r="17" spans="1:25" ht="11.25" customHeight="1">
      <c r="A17" s="3">
        <v>15</v>
      </c>
      <c r="B17" s="7" t="s">
        <v>48</v>
      </c>
      <c r="C17" s="6"/>
      <c r="D17" s="6"/>
      <c r="E17" s="17"/>
      <c r="F17" s="6" t="s">
        <v>355</v>
      </c>
      <c r="G17" s="6"/>
      <c r="H17" s="6"/>
      <c r="I17" s="6"/>
      <c r="J17" s="6"/>
      <c r="K17" s="6"/>
      <c r="L17" s="19"/>
      <c r="M17" s="20"/>
      <c r="N17" s="72"/>
      <c r="O17" s="72"/>
      <c r="P17" s="154">
        <v>750</v>
      </c>
      <c r="Q17" s="154"/>
      <c r="R17" s="152">
        <f>(P23-P17*(Q16-1))/2</f>
        <v>750</v>
      </c>
      <c r="S17" s="152"/>
      <c r="T17" s="20"/>
      <c r="U17" s="22"/>
      <c r="V17" s="20"/>
      <c r="W17" s="2" t="s">
        <v>110</v>
      </c>
      <c r="Y17" s="2" t="s">
        <v>25</v>
      </c>
    </row>
    <row r="18" spans="1:21" ht="11.25" customHeight="1">
      <c r="A18" s="3">
        <v>16</v>
      </c>
      <c r="B18" s="7"/>
      <c r="C18" s="30" t="s">
        <v>108</v>
      </c>
      <c r="D18" s="6"/>
      <c r="E18" s="17"/>
      <c r="F18" s="6" t="str">
        <f>IF(X21="Flat Bar","FB "&amp;AC21&amp;" x "&amp;AE21,X22)</f>
        <v>FB 50 x 6</v>
      </c>
      <c r="G18" s="6"/>
      <c r="H18" s="6"/>
      <c r="I18" s="6"/>
      <c r="J18" s="6"/>
      <c r="K18" s="6"/>
      <c r="L18" s="178" t="s">
        <v>123</v>
      </c>
      <c r="M18" s="179"/>
      <c r="N18" s="72"/>
      <c r="O18" s="72"/>
      <c r="P18" s="132" t="str">
        <f>IF(IF(N19&gt;0,N19,T18)&lt;IF(P17&gt;0,P17,P23),X43,X44)</f>
        <v>b</v>
      </c>
      <c r="Q18" s="132"/>
      <c r="R18" s="20"/>
      <c r="S18" s="20"/>
      <c r="T18" s="143">
        <v>2000</v>
      </c>
      <c r="U18" s="22"/>
    </row>
    <row r="19" spans="1:32" ht="11.25" customHeight="1">
      <c r="A19" s="3">
        <v>17</v>
      </c>
      <c r="B19" s="7"/>
      <c r="C19" s="30" t="s">
        <v>109</v>
      </c>
      <c r="D19" s="6"/>
      <c r="E19" s="17"/>
      <c r="F19" s="6" t="str">
        <f>IF(X23="Flat Bar","FB "&amp;AC23&amp;" x "&amp;AE23,X24)</f>
        <v>FB 50 x 6</v>
      </c>
      <c r="G19" s="6"/>
      <c r="H19" s="6"/>
      <c r="I19" s="6"/>
      <c r="J19" s="6"/>
      <c r="K19" s="6"/>
      <c r="L19" s="178" t="str">
        <f>C18</f>
        <v>Horiz.</v>
      </c>
      <c r="M19" s="179"/>
      <c r="N19" s="155">
        <v>750</v>
      </c>
      <c r="O19" s="155"/>
      <c r="P19" s="156" t="str">
        <f>IF(IF(N19&gt;0,N19,T18)&gt;=IF(P17&gt;0,P17,P23),X43,X44)</f>
        <v>a</v>
      </c>
      <c r="Q19" s="20"/>
      <c r="R19" s="20"/>
      <c r="S19" s="20"/>
      <c r="T19" s="143"/>
      <c r="U19" s="22"/>
      <c r="W19" s="37" t="str">
        <f>B17</f>
        <v> Stiffener</v>
      </c>
      <c r="Z19" s="138" t="s">
        <v>53</v>
      </c>
      <c r="AA19" s="138"/>
      <c r="AC19" s="38" t="s">
        <v>56</v>
      </c>
      <c r="AD19" s="38" t="s">
        <v>15</v>
      </c>
      <c r="AE19" s="38" t="s">
        <v>12</v>
      </c>
      <c r="AF19" s="38" t="s">
        <v>57</v>
      </c>
    </row>
    <row r="20" spans="1:27" ht="11.25" customHeight="1">
      <c r="A20" s="3">
        <v>18</v>
      </c>
      <c r="B20" s="7"/>
      <c r="C20" s="6"/>
      <c r="D20" s="6"/>
      <c r="E20" s="17"/>
      <c r="F20" s="6"/>
      <c r="G20" s="6"/>
      <c r="H20" s="6"/>
      <c r="I20" s="6"/>
      <c r="J20" s="6"/>
      <c r="K20" s="6"/>
      <c r="L20" s="58" t="s">
        <v>50</v>
      </c>
      <c r="M20" s="23">
        <f>IF(N19&lt;=0,0,INT(T18/N19)-IF(INT(T18/N19)=T18/N19,1))</f>
        <v>2</v>
      </c>
      <c r="N20" s="155"/>
      <c r="O20" s="155"/>
      <c r="P20" s="156"/>
      <c r="Q20" s="20"/>
      <c r="R20" s="20"/>
      <c r="S20" s="20"/>
      <c r="T20" s="143"/>
      <c r="U20" s="22"/>
      <c r="W20" s="2" t="s">
        <v>110</v>
      </c>
      <c r="Z20" s="3" t="s">
        <v>51</v>
      </c>
      <c r="AA20" s="3" t="s">
        <v>52</v>
      </c>
    </row>
    <row r="21" spans="1:32" ht="11.25" customHeight="1">
      <c r="A21" s="3">
        <v>19</v>
      </c>
      <c r="B21" s="7"/>
      <c r="C21" s="6"/>
      <c r="D21" s="6"/>
      <c r="E21" s="17"/>
      <c r="F21" s="6"/>
      <c r="G21" s="6"/>
      <c r="H21" s="6"/>
      <c r="I21" s="6"/>
      <c r="J21" s="6"/>
      <c r="K21" s="6"/>
      <c r="L21" s="19"/>
      <c r="M21" s="20"/>
      <c r="N21" s="153">
        <f>(T18-N19*(M20-1))/2</f>
        <v>625</v>
      </c>
      <c r="O21" s="153"/>
      <c r="P21" s="20"/>
      <c r="Q21" s="20"/>
      <c r="R21" s="20"/>
      <c r="S21" s="20"/>
      <c r="T21" s="143"/>
      <c r="U21" s="22"/>
      <c r="W21" s="139" t="str">
        <f>C18</f>
        <v>Horiz.</v>
      </c>
      <c r="X21" s="2" t="s">
        <v>310</v>
      </c>
      <c r="Z21" s="35">
        <v>50</v>
      </c>
      <c r="AA21" s="35">
        <v>6</v>
      </c>
      <c r="AB21" s="2" t="s">
        <v>54</v>
      </c>
      <c r="AC21" s="36">
        <f>IF(X21="Flat Bar",Z21,AC22)</f>
        <v>50</v>
      </c>
      <c r="AD21" s="36" t="str">
        <f>IF(X21="Flat Bar","***",AD22)</f>
        <v>***</v>
      </c>
      <c r="AE21" s="36">
        <f>IF(X21="Flat Bar",AA21,AE22)</f>
        <v>6</v>
      </c>
      <c r="AF21" s="36" t="str">
        <f>IF(X21="Flat Bar","***",IF(X21="L Angle","***",AF22))</f>
        <v>***</v>
      </c>
    </row>
    <row r="22" spans="1:32" ht="11.25" customHeight="1">
      <c r="A22" s="3">
        <v>20</v>
      </c>
      <c r="B22" s="7"/>
      <c r="C22" s="6"/>
      <c r="D22" s="6"/>
      <c r="E22" s="17"/>
      <c r="F22" s="6"/>
      <c r="G22" s="6"/>
      <c r="H22" s="6"/>
      <c r="I22" s="6"/>
      <c r="J22" s="6"/>
      <c r="K22" s="6"/>
      <c r="L22" s="19"/>
      <c r="M22" s="20"/>
      <c r="N22" s="153"/>
      <c r="O22" s="153"/>
      <c r="P22" s="20"/>
      <c r="Q22" s="20"/>
      <c r="R22" s="20"/>
      <c r="S22" s="20"/>
      <c r="T22" s="20"/>
      <c r="U22" s="22"/>
      <c r="W22" s="139"/>
      <c r="X22" s="2" t="s">
        <v>354</v>
      </c>
      <c r="AB22" s="2" t="s">
        <v>55</v>
      </c>
      <c r="AC22" s="3" t="str">
        <f>IF(X21="Flat Bar","***",shapesteel(X21,X22,2))</f>
        <v>***</v>
      </c>
      <c r="AD22" s="3" t="str">
        <f>IF(X21="Flat Bar","***",shapesteel(X21,X22,3))</f>
        <v>***</v>
      </c>
      <c r="AE22" s="3" t="str">
        <f>IF(X21="Flat Bar","***",shapesteel(X21,X22,4))</f>
        <v>***</v>
      </c>
      <c r="AF22" s="3" t="str">
        <f>IF(X21="Flat Bar","***",IF(X21="L Angle","***",shapesteel(X21,X22,5)))</f>
        <v>***</v>
      </c>
    </row>
    <row r="23" spans="1:32" ht="11.25" customHeight="1">
      <c r="A23" s="3">
        <v>21</v>
      </c>
      <c r="B23" s="7"/>
      <c r="C23" s="6"/>
      <c r="D23" s="6"/>
      <c r="E23" s="17"/>
      <c r="F23" s="6"/>
      <c r="G23" s="6"/>
      <c r="H23" s="6"/>
      <c r="I23" s="6"/>
      <c r="J23" s="6"/>
      <c r="K23" s="6"/>
      <c r="L23" s="19"/>
      <c r="M23" s="20"/>
      <c r="N23" s="20"/>
      <c r="O23" s="20"/>
      <c r="P23" s="154">
        <v>3000</v>
      </c>
      <c r="Q23" s="154"/>
      <c r="R23" s="20"/>
      <c r="S23" s="20"/>
      <c r="T23" s="20"/>
      <c r="U23" s="22"/>
      <c r="W23" s="139" t="str">
        <f>C19</f>
        <v>Vert.</v>
      </c>
      <c r="X23" s="2" t="s">
        <v>310</v>
      </c>
      <c r="Z23" s="35">
        <v>50</v>
      </c>
      <c r="AA23" s="35">
        <v>6</v>
      </c>
      <c r="AC23" s="36">
        <f>IF(X23="Flat Bar",Z23,AC24)</f>
        <v>50</v>
      </c>
      <c r="AD23" s="36" t="str">
        <f>IF(X23="Flat Bar","***",AD24)</f>
        <v>***</v>
      </c>
      <c r="AE23" s="36">
        <f>IF(X23="Flat Bar",AA23,AE24)</f>
        <v>6</v>
      </c>
      <c r="AF23" s="36" t="str">
        <f>IF(X23="Flat Bar","***",IF(X23="L Angle","***",AF24))</f>
        <v>***</v>
      </c>
    </row>
    <row r="24" spans="1:32" ht="11.25" customHeight="1">
      <c r="A24" s="3">
        <v>22</v>
      </c>
      <c r="B24" s="18"/>
      <c r="C24" s="9"/>
      <c r="D24" s="9"/>
      <c r="E24" s="103"/>
      <c r="F24" s="9"/>
      <c r="G24" s="9"/>
      <c r="H24" s="9"/>
      <c r="I24" s="9"/>
      <c r="J24" s="9"/>
      <c r="K24" s="9"/>
      <c r="L24" s="19"/>
      <c r="M24" s="20"/>
      <c r="N24" s="20"/>
      <c r="O24" s="20"/>
      <c r="P24" s="20"/>
      <c r="Q24" s="20"/>
      <c r="R24" s="20"/>
      <c r="S24" s="20"/>
      <c r="T24" s="20"/>
      <c r="U24" s="22"/>
      <c r="W24" s="139"/>
      <c r="X24" s="2" t="s">
        <v>354</v>
      </c>
      <c r="AC24" s="3" t="str">
        <f>IF(X23="Flat Bar","***",shapesteel(X23,X24,2))</f>
        <v>***</v>
      </c>
      <c r="AD24" s="3" t="str">
        <f>IF(X23="Flat Bar","***",shapesteel(X23,X24,3))</f>
        <v>***</v>
      </c>
      <c r="AE24" s="3" t="str">
        <f>IF(X23="Flat Bar","***",shapesteel(X23,X24,4))</f>
        <v>***</v>
      </c>
      <c r="AF24" s="3" t="str">
        <f>IF(X23="Flat Bar","***",IF(X23="L Angle","***",shapesteel(X23,X24,5)))</f>
        <v>***</v>
      </c>
    </row>
    <row r="25" spans="1:21" ht="11.25" customHeight="1">
      <c r="A25" s="3">
        <v>23</v>
      </c>
      <c r="B25" s="140" t="s">
        <v>132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2"/>
    </row>
    <row r="26" spans="1:21" ht="11.25" customHeight="1">
      <c r="A26" s="3">
        <v>24</v>
      </c>
      <c r="B26" s="108" t="s">
        <v>274</v>
      </c>
      <c r="C26" s="44"/>
      <c r="D26" s="44"/>
      <c r="E26" s="44"/>
      <c r="F26" s="73" t="s">
        <v>345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</row>
    <row r="27" spans="1:22" ht="11.25" customHeight="1">
      <c r="A27" s="3">
        <v>25</v>
      </c>
      <c r="B27" s="19"/>
      <c r="C27" s="114" t="s">
        <v>311</v>
      </c>
      <c r="D27" s="20"/>
      <c r="E27" s="20"/>
      <c r="F27" s="20"/>
      <c r="G27" s="20"/>
      <c r="H27" s="20"/>
      <c r="I27" s="20"/>
      <c r="J27" s="20"/>
      <c r="K27" s="23"/>
      <c r="L27" s="96"/>
      <c r="M27" s="20"/>
      <c r="N27" s="20"/>
      <c r="O27" s="20"/>
      <c r="P27" s="20"/>
      <c r="Q27" s="20"/>
      <c r="R27" s="20"/>
      <c r="S27" s="20"/>
      <c r="T27" s="20"/>
      <c r="U27" s="22"/>
      <c r="V27" s="63"/>
    </row>
    <row r="28" spans="1:21" ht="11.25" customHeight="1">
      <c r="A28" s="3">
        <v>26</v>
      </c>
      <c r="B28" s="19"/>
      <c r="C28" s="157" t="s">
        <v>177</v>
      </c>
      <c r="D28" s="158" t="s">
        <v>60</v>
      </c>
      <c r="E28" s="149" t="str">
        <f>F31</f>
        <v>b</v>
      </c>
      <c r="F28" s="74" t="str">
        <f>F32&amp;" "&amp;F33</f>
        <v>β2 P</v>
      </c>
      <c r="G28" s="131" t="str">
        <f>"+ "&amp;F35</f>
        <v>+ CA</v>
      </c>
      <c r="H28" s="149" t="s">
        <v>60</v>
      </c>
      <c r="I28" s="153">
        <f>Y44</f>
        <v>750</v>
      </c>
      <c r="J28" s="153"/>
      <c r="K28" s="148">
        <f>X47</f>
        <v>0.1386</v>
      </c>
      <c r="L28" s="148"/>
      <c r="M28" s="23" t="s">
        <v>62</v>
      </c>
      <c r="N28" s="75">
        <f>F14</f>
        <v>0.1</v>
      </c>
      <c r="O28" s="149" t="s">
        <v>61</v>
      </c>
      <c r="P28" s="150">
        <f>P13</f>
        <v>1.6</v>
      </c>
      <c r="Q28" s="66"/>
      <c r="R28" s="72"/>
      <c r="S28" s="65"/>
      <c r="T28" s="65"/>
      <c r="U28" s="70"/>
    </row>
    <row r="29" spans="1:28" ht="11.25" customHeight="1">
      <c r="A29" s="3">
        <v>27</v>
      </c>
      <c r="B29" s="19"/>
      <c r="C29" s="157"/>
      <c r="D29" s="158"/>
      <c r="E29" s="149"/>
      <c r="F29" s="64" t="str">
        <f>F34</f>
        <v>S</v>
      </c>
      <c r="G29" s="150"/>
      <c r="H29" s="149"/>
      <c r="I29" s="153"/>
      <c r="J29" s="153"/>
      <c r="K29" s="44"/>
      <c r="L29" s="151">
        <f>stress(W17,Y17,F16,I14,I13,N33,3)</f>
        <v>1202.2489811829626</v>
      </c>
      <c r="M29" s="151"/>
      <c r="N29" s="151"/>
      <c r="O29" s="149"/>
      <c r="P29" s="150"/>
      <c r="Q29" s="66"/>
      <c r="R29" s="20"/>
      <c r="S29" s="20"/>
      <c r="T29" s="20"/>
      <c r="U29" s="22"/>
      <c r="V29" s="65"/>
      <c r="Z29" s="65"/>
      <c r="AA29" s="65"/>
      <c r="AB29" s="20"/>
    </row>
    <row r="30" spans="1:27" ht="11.25" customHeight="1">
      <c r="A30" s="3">
        <v>28</v>
      </c>
      <c r="B30" s="19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76"/>
      <c r="O30" s="23" t="s">
        <v>64</v>
      </c>
      <c r="P30" s="77">
        <f>I28*(K28*N28/L29)^0.5+P28</f>
        <v>4.146511663535486</v>
      </c>
      <c r="Q30" s="50" t="str">
        <f>IF(P30&lt;R30,"&lt;",IF(P30=R30,"=","&gt;"))</f>
        <v>&lt;</v>
      </c>
      <c r="R30" s="78">
        <f>I16</f>
        <v>9</v>
      </c>
      <c r="S30" s="20" t="s">
        <v>65</v>
      </c>
      <c r="T30" s="65"/>
      <c r="U30" s="79" t="str">
        <f>IF(R30&gt;=P30,"OK  !","Not  Accepted  !")</f>
        <v>OK  !</v>
      </c>
      <c r="AA30" s="63"/>
    </row>
    <row r="31" spans="1:26" ht="11.25" customHeight="1">
      <c r="A31" s="3">
        <v>29</v>
      </c>
      <c r="B31" s="19"/>
      <c r="C31" s="65"/>
      <c r="D31" s="20" t="s">
        <v>66</v>
      </c>
      <c r="E31" s="65"/>
      <c r="F31" s="20" t="str">
        <f>X44</f>
        <v>b</v>
      </c>
      <c r="G31" s="20" t="s">
        <v>88</v>
      </c>
      <c r="H31" s="65"/>
      <c r="I31" s="65"/>
      <c r="J31" s="65"/>
      <c r="K31" s="65"/>
      <c r="L31" s="65"/>
      <c r="M31" s="65"/>
      <c r="N31" s="65" t="s">
        <v>68</v>
      </c>
      <c r="O31" s="65"/>
      <c r="P31" s="65"/>
      <c r="Q31" s="65"/>
      <c r="R31" s="65"/>
      <c r="S31" s="65"/>
      <c r="T31" s="65"/>
      <c r="U31" s="70"/>
      <c r="V31" s="63"/>
      <c r="Z31" s="63"/>
    </row>
    <row r="32" spans="1:26" ht="11.25" customHeight="1">
      <c r="A32" s="3">
        <v>30</v>
      </c>
      <c r="B32" s="19"/>
      <c r="C32" s="65"/>
      <c r="D32" s="65"/>
      <c r="E32" s="65"/>
      <c r="F32" s="80" t="str">
        <f>Z47</f>
        <v>β2</v>
      </c>
      <c r="G32" s="65" t="s">
        <v>346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22"/>
      <c r="W32" s="63"/>
      <c r="X32" s="63"/>
      <c r="Y32" s="63"/>
      <c r="Z32" s="63"/>
    </row>
    <row r="33" spans="1:21" ht="11.25" customHeight="1">
      <c r="A33" s="3">
        <v>31</v>
      </c>
      <c r="B33" s="19"/>
      <c r="C33" s="20"/>
      <c r="D33" s="20"/>
      <c r="E33" s="20"/>
      <c r="F33" s="65" t="s">
        <v>69</v>
      </c>
      <c r="G33" s="20" t="s">
        <v>347</v>
      </c>
      <c r="H33" s="20"/>
      <c r="I33" s="20"/>
      <c r="J33" s="20"/>
      <c r="K33" s="20"/>
      <c r="L33" s="20"/>
      <c r="M33" s="20"/>
      <c r="N33" s="20" t="str">
        <f>F13</f>
        <v>kg/cm2.g</v>
      </c>
      <c r="O33" s="20"/>
      <c r="P33" s="20"/>
      <c r="Q33" s="20"/>
      <c r="R33" s="65"/>
      <c r="S33" s="20"/>
      <c r="T33" s="20"/>
      <c r="U33" s="22"/>
    </row>
    <row r="34" spans="1:45" ht="11.25" customHeight="1">
      <c r="A34" s="3">
        <v>32</v>
      </c>
      <c r="B34" s="19"/>
      <c r="C34" s="65"/>
      <c r="D34" s="65"/>
      <c r="E34" s="65"/>
      <c r="F34" s="20" t="s">
        <v>70</v>
      </c>
      <c r="G34" s="20" t="s">
        <v>348</v>
      </c>
      <c r="H34" s="65"/>
      <c r="I34" s="65"/>
      <c r="J34" s="65"/>
      <c r="K34" s="65"/>
      <c r="L34" s="65"/>
      <c r="M34" s="65"/>
      <c r="N34" s="65" t="str">
        <f>upsx(N33)</f>
        <v>kg/cm2</v>
      </c>
      <c r="O34" s="65"/>
      <c r="P34" s="65"/>
      <c r="Q34" s="65"/>
      <c r="R34" s="65"/>
      <c r="S34" s="65"/>
      <c r="T34" s="65"/>
      <c r="U34" s="70"/>
      <c r="V34" s="63"/>
      <c r="X34" s="63"/>
      <c r="Y34" s="63"/>
      <c r="Z34" s="34" t="s">
        <v>313</v>
      </c>
      <c r="AQ34" s="63"/>
      <c r="AR34" s="63"/>
      <c r="AS34" s="63"/>
    </row>
    <row r="35" spans="1:45" ht="11.25" customHeight="1">
      <c r="A35" s="3">
        <v>33</v>
      </c>
      <c r="B35" s="19"/>
      <c r="C35" s="65"/>
      <c r="D35" s="65"/>
      <c r="E35" s="65"/>
      <c r="F35" s="65" t="s">
        <v>71</v>
      </c>
      <c r="G35" s="20" t="s">
        <v>349</v>
      </c>
      <c r="H35" s="65"/>
      <c r="I35" s="65"/>
      <c r="J35" s="65"/>
      <c r="K35" s="65"/>
      <c r="L35" s="65"/>
      <c r="M35" s="65"/>
      <c r="N35" s="65" t="s">
        <v>68</v>
      </c>
      <c r="O35" s="65"/>
      <c r="P35" s="65"/>
      <c r="Q35" s="65"/>
      <c r="R35" s="65"/>
      <c r="S35" s="65"/>
      <c r="T35" s="65"/>
      <c r="U35" s="70"/>
      <c r="V35" s="63"/>
      <c r="W35" s="2" t="s">
        <v>314</v>
      </c>
      <c r="X35" s="36" t="s">
        <v>86</v>
      </c>
      <c r="Y35" s="3">
        <f>MAX(IF(N19&gt;0,N19,T18),IF(P17&gt;0,P17,P23))</f>
        <v>750</v>
      </c>
      <c r="Z35" s="88" t="s">
        <v>315</v>
      </c>
      <c r="AA35" s="63"/>
      <c r="AB35" s="63"/>
      <c r="AN35" s="2" t="s">
        <v>316</v>
      </c>
      <c r="AQ35" s="63"/>
      <c r="AR35" s="63"/>
      <c r="AS35" s="63"/>
    </row>
    <row r="36" spans="1:45" ht="11.25" customHeight="1">
      <c r="A36" s="3">
        <v>34</v>
      </c>
      <c r="B36" s="19"/>
      <c r="C36" s="114" t="s">
        <v>335</v>
      </c>
      <c r="D36" s="20"/>
      <c r="E36" s="20"/>
      <c r="F36" s="20"/>
      <c r="G36" s="20"/>
      <c r="H36" s="20"/>
      <c r="I36" s="20"/>
      <c r="J36" s="20"/>
      <c r="K36" s="23"/>
      <c r="L36" s="96"/>
      <c r="M36" s="20"/>
      <c r="N36" s="20"/>
      <c r="O36" s="20"/>
      <c r="P36" s="20"/>
      <c r="Q36" s="20"/>
      <c r="R36" s="20"/>
      <c r="S36" s="20"/>
      <c r="T36" s="20"/>
      <c r="U36" s="22"/>
      <c r="V36" s="63"/>
      <c r="W36" s="2" t="s">
        <v>317</v>
      </c>
      <c r="X36" s="36" t="s">
        <v>87</v>
      </c>
      <c r="Y36" s="3">
        <f>MIN(IF(N19&gt;0,N19,T18),IF(P17&gt;0,P17,P23))</f>
        <v>750</v>
      </c>
      <c r="Z36" s="88" t="s">
        <v>318</v>
      </c>
      <c r="AA36" s="63"/>
      <c r="AB36" s="63"/>
      <c r="AD36" s="34" t="s">
        <v>319</v>
      </c>
      <c r="AN36" s="145">
        <v>7</v>
      </c>
      <c r="AO36" s="145"/>
      <c r="AS36" s="63"/>
    </row>
    <row r="37" spans="1:41" ht="11.25" customHeight="1">
      <c r="A37" s="3">
        <v>35</v>
      </c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2"/>
      <c r="W37" s="90" t="str">
        <f>C28</f>
        <v>  t</v>
      </c>
      <c r="X37" s="34">
        <f>Y35/Y36</f>
        <v>1</v>
      </c>
      <c r="Y37" s="3" t="s">
        <v>320</v>
      </c>
      <c r="Z37" s="122" t="str">
        <f>"Ratio, "&amp;X35&amp;" / "&amp;X36</f>
        <v>Ratio, a / b</v>
      </c>
      <c r="AA37" s="122"/>
      <c r="AB37" s="137">
        <v>1</v>
      </c>
      <c r="AC37" s="137"/>
      <c r="AD37" s="137">
        <v>1.5</v>
      </c>
      <c r="AE37" s="137"/>
      <c r="AF37" s="137">
        <v>2</v>
      </c>
      <c r="AG37" s="137"/>
      <c r="AH37" s="137">
        <v>2.5</v>
      </c>
      <c r="AI37" s="137"/>
      <c r="AJ37" s="137">
        <v>3</v>
      </c>
      <c r="AK37" s="137"/>
      <c r="AL37" s="137">
        <v>3.5</v>
      </c>
      <c r="AM37" s="137"/>
      <c r="AN37" s="137">
        <v>4</v>
      </c>
      <c r="AO37" s="137"/>
    </row>
    <row r="38" spans="1:45" ht="11.25" customHeight="1">
      <c r="A38" s="3">
        <v>36</v>
      </c>
      <c r="B38" s="19"/>
      <c r="C38" s="157" t="s">
        <v>336</v>
      </c>
      <c r="D38" s="158" t="s">
        <v>337</v>
      </c>
      <c r="E38" s="149" t="str">
        <f>E28</f>
        <v>b</v>
      </c>
      <c r="F38" s="74" t="str">
        <f>F41&amp;" "&amp;F33</f>
        <v>β1 P</v>
      </c>
      <c r="G38" s="159" t="str">
        <f>G28</f>
        <v>+ CA</v>
      </c>
      <c r="H38" s="149" t="s">
        <v>337</v>
      </c>
      <c r="I38" s="153">
        <f>I28</f>
        <v>750</v>
      </c>
      <c r="J38" s="153"/>
      <c r="K38" s="148">
        <f>X46</f>
        <v>0.3078</v>
      </c>
      <c r="L38" s="148"/>
      <c r="M38" s="23" t="s">
        <v>42</v>
      </c>
      <c r="N38" s="75">
        <f>N28</f>
        <v>0.1</v>
      </c>
      <c r="O38" s="149" t="s">
        <v>61</v>
      </c>
      <c r="P38" s="150">
        <f>P28</f>
        <v>1.6</v>
      </c>
      <c r="Q38" s="66"/>
      <c r="R38" s="72"/>
      <c r="S38" s="65"/>
      <c r="T38" s="65"/>
      <c r="U38" s="70"/>
      <c r="V38" s="65"/>
      <c r="W38" s="115">
        <f>I28*(X38*N28/L29)^0.5+P28</f>
        <v>4.336050102180491</v>
      </c>
      <c r="X38" s="116">
        <f>yvalue(X37,AN36,AB37,AD37,AF37,AH37,AJ37,AL37,AN37,0,0,0,AB38,AD38,AF38,AH38,AJ38,AL38,AN38,0,0,0)</f>
        <v>0.16</v>
      </c>
      <c r="Y38" s="3" t="s">
        <v>320</v>
      </c>
      <c r="Z38" s="15" t="s">
        <v>321</v>
      </c>
      <c r="AA38" s="123" t="s">
        <v>330</v>
      </c>
      <c r="AB38" s="144">
        <v>0.16</v>
      </c>
      <c r="AC38" s="144"/>
      <c r="AD38" s="144">
        <v>0.26</v>
      </c>
      <c r="AE38" s="144"/>
      <c r="AF38" s="144">
        <v>0.34</v>
      </c>
      <c r="AG38" s="144"/>
      <c r="AH38" s="144">
        <v>0.38</v>
      </c>
      <c r="AI38" s="144"/>
      <c r="AJ38" s="144">
        <v>0.43</v>
      </c>
      <c r="AK38" s="144"/>
      <c r="AL38" s="144">
        <v>0.47</v>
      </c>
      <c r="AM38" s="144"/>
      <c r="AN38" s="144">
        <v>0.49</v>
      </c>
      <c r="AO38" s="144"/>
      <c r="AS38" s="65"/>
    </row>
    <row r="39" spans="1:44" ht="11.25" customHeight="1">
      <c r="A39" s="3">
        <v>37</v>
      </c>
      <c r="B39" s="19"/>
      <c r="C39" s="157"/>
      <c r="D39" s="158"/>
      <c r="E39" s="149"/>
      <c r="F39" s="64" t="str">
        <f>F29</f>
        <v>S</v>
      </c>
      <c r="G39" s="150"/>
      <c r="H39" s="149"/>
      <c r="I39" s="153"/>
      <c r="J39" s="153"/>
      <c r="K39" s="44"/>
      <c r="L39" s="151">
        <f>L29</f>
        <v>1202.2489811829626</v>
      </c>
      <c r="M39" s="151"/>
      <c r="N39" s="151"/>
      <c r="O39" s="149"/>
      <c r="P39" s="150"/>
      <c r="Q39" s="66"/>
      <c r="R39" s="20"/>
      <c r="S39" s="20"/>
      <c r="T39" s="20"/>
      <c r="U39" s="22"/>
      <c r="W39" s="115">
        <f>X39*K43*M43^4/(H44*M44^3)</f>
        <v>0.8729761979152398</v>
      </c>
      <c r="X39" s="116">
        <f>yvalue(X37,AN36,AB37,AD37,AF37,AH37,AJ37,AL37,AN37,0,0,0,AB39,AD39,AF39,AH39,AJ39,AL39,AN39,0,0,0)</f>
        <v>0.022</v>
      </c>
      <c r="Y39" s="3" t="s">
        <v>320</v>
      </c>
      <c r="Z39" s="117" t="str">
        <f>Z38</f>
        <v>Constant</v>
      </c>
      <c r="AA39" s="121" t="s">
        <v>331</v>
      </c>
      <c r="AB39" s="160">
        <v>0.022</v>
      </c>
      <c r="AC39" s="160"/>
      <c r="AD39" s="160">
        <v>0.043</v>
      </c>
      <c r="AE39" s="160"/>
      <c r="AF39" s="160">
        <v>0.06</v>
      </c>
      <c r="AG39" s="160"/>
      <c r="AH39" s="160">
        <v>0.07</v>
      </c>
      <c r="AI39" s="160"/>
      <c r="AJ39" s="160">
        <v>0.078</v>
      </c>
      <c r="AK39" s="160"/>
      <c r="AL39" s="160">
        <v>0.086</v>
      </c>
      <c r="AM39" s="160"/>
      <c r="AN39" s="160">
        <v>0.091</v>
      </c>
      <c r="AO39" s="160"/>
      <c r="AQ39" s="63"/>
      <c r="AR39" s="63"/>
    </row>
    <row r="40" spans="1:45" ht="11.25" customHeight="1">
      <c r="A40" s="3">
        <v>38</v>
      </c>
      <c r="B40" s="19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6"/>
      <c r="O40" s="23" t="s">
        <v>126</v>
      </c>
      <c r="P40" s="77">
        <f>I38*(K38*N38/L39)^0.5+P38</f>
        <v>5.3948827516088755</v>
      </c>
      <c r="Q40" s="50" t="str">
        <f>IF(P40&lt;R40,"&lt;",IF(P40=R40,"=","&gt;"))</f>
        <v>&lt;</v>
      </c>
      <c r="R40" s="78">
        <f>R30</f>
        <v>9</v>
      </c>
      <c r="S40" s="20" t="s">
        <v>338</v>
      </c>
      <c r="T40" s="65"/>
      <c r="U40" s="126" t="str">
        <f>IF(R40&gt;=P40,"OK  !","Not  Accepted  !")</f>
        <v>OK  !</v>
      </c>
      <c r="V40" s="63"/>
      <c r="W40" s="118" t="str">
        <f>"↑"&amp;C43</f>
        <v>↑  Y</v>
      </c>
      <c r="Z40" s="20"/>
      <c r="AA40" s="20"/>
      <c r="AB40" s="65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S40" s="63"/>
    </row>
    <row r="41" spans="1:44" ht="11.25" customHeight="1">
      <c r="A41" s="3">
        <v>39</v>
      </c>
      <c r="B41" s="19"/>
      <c r="C41" s="20"/>
      <c r="D41" s="20" t="str">
        <f>D31</f>
        <v>Where,</v>
      </c>
      <c r="E41" s="20"/>
      <c r="F41" s="80" t="str">
        <f>Z46</f>
        <v>β1</v>
      </c>
      <c r="G41" s="65" t="s">
        <v>346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2"/>
      <c r="Z41" s="125" t="s">
        <v>332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Q41" s="63"/>
      <c r="AR41" s="63"/>
    </row>
    <row r="42" spans="1:45" ht="11.25" customHeight="1">
      <c r="A42" s="3">
        <v>40</v>
      </c>
      <c r="B42" s="19"/>
      <c r="C42" s="114" t="s">
        <v>312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2"/>
      <c r="V42" s="63"/>
      <c r="Z42" s="124" t="s">
        <v>322</v>
      </c>
      <c r="AA42" s="65"/>
      <c r="AB42" s="65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Q42" s="63"/>
      <c r="AR42" s="63"/>
      <c r="AS42" s="63"/>
    </row>
    <row r="43" spans="1:45" ht="11.25" customHeight="1">
      <c r="A43" s="3">
        <v>41</v>
      </c>
      <c r="B43" s="19"/>
      <c r="C43" s="157" t="s">
        <v>178</v>
      </c>
      <c r="D43" s="158" t="s">
        <v>64</v>
      </c>
      <c r="E43" s="170" t="s">
        <v>72</v>
      </c>
      <c r="F43" s="170"/>
      <c r="G43" s="149" t="s">
        <v>64</v>
      </c>
      <c r="H43" s="176">
        <f>X48</f>
        <v>0.0138</v>
      </c>
      <c r="I43" s="176"/>
      <c r="J43" s="23" t="s">
        <v>73</v>
      </c>
      <c r="K43" s="75">
        <f>N28</f>
        <v>0.1</v>
      </c>
      <c r="L43" s="23" t="s">
        <v>73</v>
      </c>
      <c r="M43" s="152">
        <f>I28</f>
        <v>750</v>
      </c>
      <c r="N43" s="152"/>
      <c r="O43" s="20" t="s">
        <v>74</v>
      </c>
      <c r="P43" s="72"/>
      <c r="Q43" s="59"/>
      <c r="R43" s="20"/>
      <c r="S43" s="20"/>
      <c r="T43" s="20"/>
      <c r="U43" s="22"/>
      <c r="V43" s="63"/>
      <c r="W43" s="119" t="s">
        <v>325</v>
      </c>
      <c r="X43" s="35" t="s">
        <v>86</v>
      </c>
      <c r="Y43" s="120">
        <f>MAX(IF(N19&gt;0,N19,T18),IF(P17&gt;0,P17,P23))</f>
        <v>750</v>
      </c>
      <c r="Z43" s="96" t="s">
        <v>323</v>
      </c>
      <c r="AA43" s="20"/>
      <c r="AB43" s="65"/>
      <c r="AC43" s="20"/>
      <c r="AD43" s="20"/>
      <c r="AE43" s="20"/>
      <c r="AF43" s="20"/>
      <c r="AG43" s="20"/>
      <c r="AH43" s="20"/>
      <c r="AI43" s="20"/>
      <c r="AJ43" s="20"/>
      <c r="AK43" s="20"/>
      <c r="AL43" s="20" t="s">
        <v>316</v>
      </c>
      <c r="AM43" s="20"/>
      <c r="AN43" s="20"/>
      <c r="AO43" s="20"/>
      <c r="AS43" s="63"/>
    </row>
    <row r="44" spans="1:41" ht="11.25" customHeight="1">
      <c r="A44" s="3">
        <v>42</v>
      </c>
      <c r="B44" s="19"/>
      <c r="C44" s="157"/>
      <c r="D44" s="158"/>
      <c r="E44" s="137" t="s">
        <v>76</v>
      </c>
      <c r="F44" s="137"/>
      <c r="G44" s="149"/>
      <c r="H44" s="151">
        <f>moetema(mindex(F16,2),I14,I13,N33)</f>
        <v>1967751.1394940792</v>
      </c>
      <c r="I44" s="151"/>
      <c r="J44" s="151"/>
      <c r="K44" s="151"/>
      <c r="L44" s="64" t="s">
        <v>42</v>
      </c>
      <c r="M44" s="175">
        <f>R30-P28</f>
        <v>7.4</v>
      </c>
      <c r="N44" s="175"/>
      <c r="O44" s="44" t="s">
        <v>77</v>
      </c>
      <c r="P44" s="20"/>
      <c r="Q44" s="59"/>
      <c r="R44" s="65"/>
      <c r="S44" s="65"/>
      <c r="T44" s="65"/>
      <c r="U44" s="70"/>
      <c r="W44" s="119" t="s">
        <v>326</v>
      </c>
      <c r="X44" s="35" t="s">
        <v>87</v>
      </c>
      <c r="Y44" s="120">
        <f>MIN(IF(N19&gt;0,N19,T18),IF(P17&gt;0,P17,P23))</f>
        <v>750</v>
      </c>
      <c r="Z44" s="124" t="s">
        <v>324</v>
      </c>
      <c r="AA44" s="65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170">
        <v>6</v>
      </c>
      <c r="AM44" s="170"/>
      <c r="AN44" s="20"/>
      <c r="AO44" s="20"/>
    </row>
    <row r="45" spans="1:44" ht="11.25" customHeight="1">
      <c r="A45" s="3">
        <v>43</v>
      </c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59" t="s">
        <v>75</v>
      </c>
      <c r="N45" s="82">
        <f>H43*K43*M43^4/(H44*M44^3)</f>
        <v>0.5475941605104687</v>
      </c>
      <c r="O45" s="83" t="str">
        <f>IF(N45&lt;S45,"&lt;",IF(N45=S45,"=","&gt;"))</f>
        <v>&lt;</v>
      </c>
      <c r="P45" s="59" t="s">
        <v>82</v>
      </c>
      <c r="Q45" s="59"/>
      <c r="R45" s="84" t="s">
        <v>85</v>
      </c>
      <c r="S45" s="82">
        <f>M44/2</f>
        <v>3.7</v>
      </c>
      <c r="T45" s="59" t="s">
        <v>67</v>
      </c>
      <c r="U45" s="85" t="str">
        <f>IF(S45&gt;=N45,"OK  !","Not  Accepted  !")</f>
        <v>OK  !</v>
      </c>
      <c r="X45" s="34">
        <f>Y43/Y44</f>
        <v>1</v>
      </c>
      <c r="Y45" s="3" t="s">
        <v>320</v>
      </c>
      <c r="Z45" s="166" t="str">
        <f>X43&amp;" / "&amp;X44</f>
        <v>a / b</v>
      </c>
      <c r="AA45" s="166"/>
      <c r="AB45" s="166">
        <v>1</v>
      </c>
      <c r="AC45" s="166"/>
      <c r="AD45" s="166">
        <v>1.2</v>
      </c>
      <c r="AE45" s="166"/>
      <c r="AF45" s="166">
        <v>1.4</v>
      </c>
      <c r="AG45" s="166"/>
      <c r="AH45" s="166">
        <v>1.6</v>
      </c>
      <c r="AI45" s="166"/>
      <c r="AJ45" s="166">
        <v>1.8</v>
      </c>
      <c r="AK45" s="166"/>
      <c r="AL45" s="166">
        <v>2</v>
      </c>
      <c r="AM45" s="166"/>
      <c r="AN45" s="166">
        <v>10</v>
      </c>
      <c r="AO45" s="166"/>
      <c r="AQ45" s="65"/>
      <c r="AR45" s="65"/>
    </row>
    <row r="46" spans="1:41" ht="11.25" customHeight="1">
      <c r="A46" s="3">
        <v>44</v>
      </c>
      <c r="B46" s="19"/>
      <c r="C46" s="20"/>
      <c r="D46" s="65" t="s">
        <v>78</v>
      </c>
      <c r="E46" s="20"/>
      <c r="F46" s="20" t="str">
        <f>Z48</f>
        <v>α</v>
      </c>
      <c r="G46" s="65" t="s">
        <v>346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/>
      <c r="X46" s="116">
        <f>IF(X45&lt;=2,yvalue(X45,AL44,AB45,AD45,AF45,AH45,AJ45,AL45,0,0,0,0,AB46,AD46,AF46,AH46,AJ46,AL46,0,0,0,0),AL46+(AN46-AL46)/(AN45-AL45)*(X45-AL45))</f>
        <v>0.3078</v>
      </c>
      <c r="Y46" s="3" t="s">
        <v>320</v>
      </c>
      <c r="Z46" s="167" t="s">
        <v>328</v>
      </c>
      <c r="AA46" s="168"/>
      <c r="AB46" s="169">
        <v>0.3078</v>
      </c>
      <c r="AC46" s="169"/>
      <c r="AD46" s="169">
        <v>0.3834</v>
      </c>
      <c r="AE46" s="169"/>
      <c r="AF46" s="169">
        <v>0.4356</v>
      </c>
      <c r="AG46" s="169"/>
      <c r="AH46" s="169">
        <v>0.468</v>
      </c>
      <c r="AI46" s="169"/>
      <c r="AJ46" s="169">
        <v>0.4872</v>
      </c>
      <c r="AK46" s="169"/>
      <c r="AL46" s="169">
        <v>0.4974</v>
      </c>
      <c r="AM46" s="169"/>
      <c r="AN46" s="169">
        <v>0.5</v>
      </c>
      <c r="AO46" s="169"/>
    </row>
    <row r="47" spans="1:44" ht="11.25" customHeight="1">
      <c r="A47" s="3">
        <v>45</v>
      </c>
      <c r="B47" s="19"/>
      <c r="C47" s="65"/>
      <c r="D47" s="65"/>
      <c r="E47" s="65"/>
      <c r="F47" s="65" t="s">
        <v>79</v>
      </c>
      <c r="G47" s="65" t="s">
        <v>350</v>
      </c>
      <c r="H47" s="65"/>
      <c r="I47" s="65"/>
      <c r="J47" s="65"/>
      <c r="K47" s="65"/>
      <c r="L47" s="65"/>
      <c r="M47" s="65"/>
      <c r="N47" s="65" t="str">
        <f>N34</f>
        <v>kg/cm2</v>
      </c>
      <c r="O47" s="65"/>
      <c r="P47" s="65"/>
      <c r="Q47" s="65"/>
      <c r="R47" s="65"/>
      <c r="S47" s="65"/>
      <c r="T47" s="65"/>
      <c r="U47" s="70"/>
      <c r="V47" s="63"/>
      <c r="X47" s="116">
        <f>IF(X45&lt;=2,yvalue(X45,AL44,AB45,AD45,AF45,AH45,AJ45,AL45,0,0,0,0,AB47,AD47,AF47,AH47,AJ47,AL47,0,0,0,0),AL47+(AN47-AL47)/(AN45-AL45)*(X45-AL45))</f>
        <v>0.1386</v>
      </c>
      <c r="Y47" s="3" t="s">
        <v>320</v>
      </c>
      <c r="Z47" s="164" t="s">
        <v>329</v>
      </c>
      <c r="AA47" s="165"/>
      <c r="AB47" s="163">
        <v>0.1386</v>
      </c>
      <c r="AC47" s="163"/>
      <c r="AD47" s="163">
        <v>0.1794</v>
      </c>
      <c r="AE47" s="163"/>
      <c r="AF47" s="163">
        <v>0.2094</v>
      </c>
      <c r="AG47" s="163"/>
      <c r="AH47" s="163">
        <v>0.2286</v>
      </c>
      <c r="AI47" s="163"/>
      <c r="AJ47" s="163">
        <v>0.2406</v>
      </c>
      <c r="AK47" s="163"/>
      <c r="AL47" s="163">
        <v>0.2472</v>
      </c>
      <c r="AM47" s="163"/>
      <c r="AN47" s="163">
        <v>0.25</v>
      </c>
      <c r="AO47" s="163"/>
      <c r="AQ47" s="63"/>
      <c r="AR47" s="63"/>
    </row>
    <row r="48" spans="1:41" ht="11.25" customHeight="1">
      <c r="A48" s="3">
        <v>46</v>
      </c>
      <c r="B48" s="4"/>
      <c r="C48" s="71"/>
      <c r="D48" s="71"/>
      <c r="E48" s="71"/>
      <c r="F48" s="71" t="s">
        <v>80</v>
      </c>
      <c r="G48" s="71" t="s">
        <v>351</v>
      </c>
      <c r="H48" s="71"/>
      <c r="I48" s="71"/>
      <c r="J48" s="71"/>
      <c r="K48" s="71"/>
      <c r="L48" s="71"/>
      <c r="M48" s="71"/>
      <c r="N48" s="71" t="s">
        <v>81</v>
      </c>
      <c r="O48" s="71"/>
      <c r="P48" s="71"/>
      <c r="Q48" s="71"/>
      <c r="R48" s="71"/>
      <c r="S48" s="71"/>
      <c r="T48" s="71"/>
      <c r="U48" s="81"/>
      <c r="X48" s="116">
        <f>IF(X45&lt;=2,yvalue(X45,AL44,AB45,AD45,AF45,AH45,AJ45,AL45,0,0,0,0,AB48,AD48,AF48,AH48,AJ48,AL48,0,0,0,0),AL48+(AN48-AL48)/(AN45-AL45)*(X45-AL45))</f>
        <v>0.0138</v>
      </c>
      <c r="Y48" s="3" t="s">
        <v>320</v>
      </c>
      <c r="Z48" s="161" t="s">
        <v>327</v>
      </c>
      <c r="AA48" s="162"/>
      <c r="AB48" s="160">
        <v>0.0138</v>
      </c>
      <c r="AC48" s="160"/>
      <c r="AD48" s="160">
        <v>0.0188</v>
      </c>
      <c r="AE48" s="160"/>
      <c r="AF48" s="160">
        <v>0.0226</v>
      </c>
      <c r="AG48" s="160"/>
      <c r="AH48" s="160">
        <v>0.0251</v>
      </c>
      <c r="AI48" s="160"/>
      <c r="AJ48" s="160">
        <v>0.0267</v>
      </c>
      <c r="AK48" s="160"/>
      <c r="AL48" s="160">
        <v>0.0277</v>
      </c>
      <c r="AM48" s="160"/>
      <c r="AN48" s="160">
        <v>0.0284</v>
      </c>
      <c r="AO48" s="160"/>
    </row>
    <row r="49" spans="1:24" ht="11.25" customHeight="1">
      <c r="A49" s="3">
        <v>47</v>
      </c>
      <c r="B49" s="109" t="s">
        <v>276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6"/>
      <c r="V49" s="65"/>
      <c r="W49" s="86" t="str">
        <f>B49</f>
        <v> HEI, Standards for Steam Surface Condenser,  8.2.5.3.1</v>
      </c>
      <c r="X49" s="65"/>
    </row>
    <row r="50" spans="1:24" ht="11.25" customHeight="1">
      <c r="A50" s="3">
        <v>48</v>
      </c>
      <c r="B50" s="19"/>
      <c r="C50" s="96" t="s">
        <v>111</v>
      </c>
      <c r="D50" s="20"/>
      <c r="E50" s="20"/>
      <c r="F50" s="20"/>
      <c r="G50" s="20"/>
      <c r="H50" s="20"/>
      <c r="I50" s="20"/>
      <c r="J50" s="20"/>
      <c r="K50" s="23"/>
      <c r="L50" s="96"/>
      <c r="M50" s="20"/>
      <c r="N50" s="20"/>
      <c r="O50" s="20"/>
      <c r="P50" s="20"/>
      <c r="Q50" s="20"/>
      <c r="R50" s="20"/>
      <c r="S50" s="20"/>
      <c r="T50" s="20"/>
      <c r="U50" s="22"/>
      <c r="W50" s="90" t="str">
        <f>X43&amp;" / "&amp;X44</f>
        <v>a / b</v>
      </c>
      <c r="X50" s="90" t="s">
        <v>113</v>
      </c>
    </row>
    <row r="51" spans="1:24" ht="11.25" customHeight="1">
      <c r="A51" s="3">
        <v>49</v>
      </c>
      <c r="B51" s="19"/>
      <c r="C51" s="157" t="s">
        <v>177</v>
      </c>
      <c r="D51" s="158" t="s">
        <v>60</v>
      </c>
      <c r="E51" s="149" t="str">
        <f>X44</f>
        <v>b</v>
      </c>
      <c r="F51" s="74" t="s">
        <v>112</v>
      </c>
      <c r="G51" s="159" t="s">
        <v>83</v>
      </c>
      <c r="H51" s="149" t="s">
        <v>60</v>
      </c>
      <c r="I51" s="153">
        <f>Y44</f>
        <v>750</v>
      </c>
      <c r="J51" s="153"/>
      <c r="K51" s="148">
        <f>yvalue(Y43/Y44,9,W51,W52,W53,W54,W55,W56,W57,W58,W59,0,X51,X52,X53,X54,X55,X56,X57,X58,X59,0)</f>
        <v>0.205</v>
      </c>
      <c r="L51" s="148"/>
      <c r="M51" s="23" t="s">
        <v>62</v>
      </c>
      <c r="N51" s="75">
        <f>F14</f>
        <v>0.1</v>
      </c>
      <c r="O51" s="149" t="s">
        <v>61</v>
      </c>
      <c r="P51" s="150">
        <f>P13</f>
        <v>1.6</v>
      </c>
      <c r="Q51" s="20"/>
      <c r="R51" s="20"/>
      <c r="S51" s="20"/>
      <c r="T51" s="20"/>
      <c r="U51" s="22"/>
      <c r="V51" s="63"/>
      <c r="W51" s="2">
        <v>1</v>
      </c>
      <c r="X51" s="91">
        <v>0.205</v>
      </c>
    </row>
    <row r="52" spans="1:24" ht="11.25" customHeight="1">
      <c r="A52" s="3">
        <v>50</v>
      </c>
      <c r="B52" s="19"/>
      <c r="C52" s="157"/>
      <c r="D52" s="158"/>
      <c r="E52" s="149"/>
      <c r="F52" s="64" t="s">
        <v>63</v>
      </c>
      <c r="G52" s="177"/>
      <c r="H52" s="149"/>
      <c r="I52" s="153"/>
      <c r="J52" s="153"/>
      <c r="K52" s="44"/>
      <c r="L52" s="151">
        <f>stress(W17,Y17,F16,I14,I13,N33,3)</f>
        <v>1202.2489811829626</v>
      </c>
      <c r="M52" s="151"/>
      <c r="N52" s="151"/>
      <c r="O52" s="149"/>
      <c r="P52" s="150"/>
      <c r="Q52" s="20"/>
      <c r="R52" s="20"/>
      <c r="S52" s="20"/>
      <c r="T52" s="20"/>
      <c r="U52" s="22"/>
      <c r="W52" s="2">
        <v>1.2</v>
      </c>
      <c r="X52" s="91">
        <v>0.256</v>
      </c>
    </row>
    <row r="53" spans="1:24" ht="11.25" customHeight="1">
      <c r="A53" s="3">
        <v>51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7" t="s">
        <v>64</v>
      </c>
      <c r="P53" s="93">
        <f>I51*(K51*N51/L52)^0.5+P51</f>
        <v>4.696998429060573</v>
      </c>
      <c r="Q53" s="94" t="str">
        <f>IF(P53&lt;R53,"&lt;",IF(P53=R53,"=","&gt;"))</f>
        <v>&lt;</v>
      </c>
      <c r="R53" s="92">
        <f>I16</f>
        <v>9</v>
      </c>
      <c r="S53" s="5" t="s">
        <v>65</v>
      </c>
      <c r="T53" s="71"/>
      <c r="U53" s="95" t="str">
        <f>IF(R53&gt;=P53,"OK  !","Not  Accepted  !")</f>
        <v>OK  !</v>
      </c>
      <c r="W53" s="2">
        <v>1.4</v>
      </c>
      <c r="X53" s="91">
        <v>0.29</v>
      </c>
    </row>
    <row r="54" spans="1:27" ht="11.25" customHeight="1">
      <c r="A54" s="3">
        <v>52</v>
      </c>
      <c r="B54" s="109" t="s">
        <v>275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26"/>
      <c r="W54" s="2">
        <v>1.5</v>
      </c>
      <c r="X54" s="91">
        <v>0.302</v>
      </c>
      <c r="Z54" s="63" t="s">
        <v>118</v>
      </c>
      <c r="AA54" s="88" t="s">
        <v>119</v>
      </c>
    </row>
    <row r="55" spans="1:24" ht="11.25" customHeight="1">
      <c r="A55" s="3">
        <v>53</v>
      </c>
      <c r="B55" s="19"/>
      <c r="C55" s="96" t="s">
        <v>114</v>
      </c>
      <c r="D55" s="20"/>
      <c r="E55" s="20"/>
      <c r="F55" s="20"/>
      <c r="G55" s="20"/>
      <c r="H55" s="20"/>
      <c r="I55" s="20"/>
      <c r="J55" s="20"/>
      <c r="K55" s="23"/>
      <c r="L55" s="96"/>
      <c r="M55" s="20"/>
      <c r="N55" s="20"/>
      <c r="O55" s="20"/>
      <c r="P55" s="20"/>
      <c r="Q55" s="20"/>
      <c r="R55" s="20"/>
      <c r="S55" s="20"/>
      <c r="T55" s="20"/>
      <c r="U55" s="22"/>
      <c r="W55" s="2">
        <v>1.6</v>
      </c>
      <c r="X55" s="91">
        <v>0.312</v>
      </c>
    </row>
    <row r="56" spans="1:24" ht="11.25" customHeight="1">
      <c r="A56" s="3">
        <v>54</v>
      </c>
      <c r="B56" s="19"/>
      <c r="C56" s="157" t="s">
        <v>179</v>
      </c>
      <c r="D56" s="158" t="s">
        <v>104</v>
      </c>
      <c r="E56" s="170" t="str">
        <f>"P  "&amp;"1  "&amp;X43&amp;"^2"</f>
        <v>P  1  a^2</v>
      </c>
      <c r="F56" s="170"/>
      <c r="G56" s="149" t="s">
        <v>104</v>
      </c>
      <c r="H56" s="23">
        <f>dgnp</f>
        <v>0.1</v>
      </c>
      <c r="I56" s="23" t="s">
        <v>42</v>
      </c>
      <c r="J56" s="23">
        <v>1</v>
      </c>
      <c r="K56" s="23" t="s">
        <v>42</v>
      </c>
      <c r="L56" s="152">
        <f>Y43</f>
        <v>750</v>
      </c>
      <c r="M56" s="170"/>
      <c r="N56" s="20" t="s">
        <v>115</v>
      </c>
      <c r="O56" s="20"/>
      <c r="P56" s="20"/>
      <c r="Q56" s="149" t="s">
        <v>104</v>
      </c>
      <c r="R56" s="181">
        <f>H56*J56*L56^2/J57</f>
        <v>4687.5</v>
      </c>
      <c r="S56" s="181"/>
      <c r="T56" s="158" t="str">
        <f>upsx(F13)&amp;"-mm2"</f>
        <v>kg/cm2-mm2</v>
      </c>
      <c r="U56" s="182"/>
      <c r="W56" s="2">
        <v>1.8</v>
      </c>
      <c r="X56" s="91">
        <v>0.325</v>
      </c>
    </row>
    <row r="57" spans="1:24" ht="11.25" customHeight="1">
      <c r="A57" s="3">
        <v>55</v>
      </c>
      <c r="B57" s="19"/>
      <c r="C57" s="157"/>
      <c r="D57" s="158"/>
      <c r="E57" s="180">
        <v>12</v>
      </c>
      <c r="F57" s="180"/>
      <c r="G57" s="149"/>
      <c r="H57" s="44"/>
      <c r="I57" s="44"/>
      <c r="J57" s="64">
        <f>E57</f>
        <v>12</v>
      </c>
      <c r="K57" s="44"/>
      <c r="L57" s="44"/>
      <c r="M57" s="44"/>
      <c r="N57" s="44"/>
      <c r="O57" s="20"/>
      <c r="P57" s="20"/>
      <c r="Q57" s="149"/>
      <c r="R57" s="181"/>
      <c r="S57" s="181"/>
      <c r="T57" s="158"/>
      <c r="U57" s="182"/>
      <c r="W57" s="2">
        <v>2</v>
      </c>
      <c r="X57" s="91">
        <v>0.332</v>
      </c>
    </row>
    <row r="58" spans="1:24" ht="11.25" customHeight="1">
      <c r="A58" s="3">
        <v>56</v>
      </c>
      <c r="B58" s="19"/>
      <c r="C58" s="96" t="s">
        <v>116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2"/>
      <c r="W58" s="2">
        <v>3</v>
      </c>
      <c r="X58" s="91">
        <v>0.334</v>
      </c>
    </row>
    <row r="59" spans="1:24" ht="11.25" customHeight="1">
      <c r="A59" s="3">
        <v>57</v>
      </c>
      <c r="B59" s="19"/>
      <c r="C59" s="157" t="s">
        <v>177</v>
      </c>
      <c r="D59" s="158" t="s">
        <v>104</v>
      </c>
      <c r="E59" s="74" t="s">
        <v>117</v>
      </c>
      <c r="F59" s="177" t="s">
        <v>120</v>
      </c>
      <c r="G59" s="158" t="s">
        <v>121</v>
      </c>
      <c r="H59" s="107">
        <v>6</v>
      </c>
      <c r="I59" s="23" t="s">
        <v>42</v>
      </c>
      <c r="J59" s="152">
        <f>R56</f>
        <v>4687.5</v>
      </c>
      <c r="K59" s="170"/>
      <c r="L59" s="149" t="s">
        <v>122</v>
      </c>
      <c r="M59" s="149">
        <f>ca</f>
        <v>1.6</v>
      </c>
      <c r="N59" s="20"/>
      <c r="O59" s="149" t="s">
        <v>104</v>
      </c>
      <c r="P59" s="184">
        <f>(H59*J59/I60)^0.5+M59</f>
        <v>6.436698952294929</v>
      </c>
      <c r="Q59" s="185" t="str">
        <f>IF(P59&lt;R59,"&lt;",IF(P59=R59,"=","&gt;"))</f>
        <v>&lt;</v>
      </c>
      <c r="R59" s="156">
        <f>shellt</f>
        <v>9</v>
      </c>
      <c r="S59" s="158" t="s">
        <v>106</v>
      </c>
      <c r="T59" s="158"/>
      <c r="U59" s="183" t="str">
        <f>IF(R59&gt;=P59,"OK  !","Not  Accepted  !")</f>
        <v>OK  !</v>
      </c>
      <c r="W59" s="2">
        <v>4</v>
      </c>
      <c r="X59" s="91">
        <v>0.334</v>
      </c>
    </row>
    <row r="60" spans="1:21" ht="11.25" customHeight="1">
      <c r="A60" s="3">
        <v>58</v>
      </c>
      <c r="B60" s="19"/>
      <c r="C60" s="157"/>
      <c r="D60" s="158"/>
      <c r="E60" s="64" t="s">
        <v>105</v>
      </c>
      <c r="F60" s="177"/>
      <c r="G60" s="158"/>
      <c r="H60" s="44"/>
      <c r="I60" s="151">
        <f>stress(W17,Y17,F16,I14,I13,N33,3)</f>
        <v>1202.2489811829626</v>
      </c>
      <c r="J60" s="151"/>
      <c r="K60" s="44"/>
      <c r="L60" s="149"/>
      <c r="M60" s="149"/>
      <c r="N60" s="20"/>
      <c r="O60" s="149"/>
      <c r="P60" s="184"/>
      <c r="Q60" s="185"/>
      <c r="R60" s="156"/>
      <c r="S60" s="158"/>
      <c r="T60" s="158"/>
      <c r="U60" s="183"/>
    </row>
    <row r="61" spans="1:21" ht="11.25" customHeight="1">
      <c r="A61" s="3">
        <v>59</v>
      </c>
      <c r="B61" s="46" t="s">
        <v>339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</row>
    <row r="62" spans="1:21" ht="11.25" customHeight="1">
      <c r="A62" s="23">
        <v>60</v>
      </c>
      <c r="B62" s="47" t="s">
        <v>107</v>
      </c>
      <c r="C62" s="6" t="str">
        <f>Z42&amp;", "&amp;Z44</f>
        <v>Roark's Formulas for Stress and Strain, Table 11.4, 8. Rectangular Plate, all edges fixed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"/>
    </row>
    <row r="63" spans="1:21" ht="11.25" customHeight="1">
      <c r="A63" s="3">
        <v>61</v>
      </c>
      <c r="B63" s="48" t="s">
        <v>27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26"/>
    </row>
    <row r="64" spans="1:21" ht="11.25" customHeight="1">
      <c r="A64" s="3">
        <v>62</v>
      </c>
      <c r="B64" s="49" t="s">
        <v>28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4"/>
    </row>
    <row r="65" spans="1:21" ht="11.25" customHeight="1">
      <c r="A65" s="3"/>
      <c r="B65" s="28" t="s">
        <v>334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4" t="s">
        <v>333</v>
      </c>
    </row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</sheetData>
  <mergeCells count="150">
    <mergeCell ref="U59:U60"/>
    <mergeCell ref="I60:J60"/>
    <mergeCell ref="P59:P60"/>
    <mergeCell ref="Q59:Q60"/>
    <mergeCell ref="R59:R60"/>
    <mergeCell ref="S59:T60"/>
    <mergeCell ref="J59:K59"/>
    <mergeCell ref="L59:L60"/>
    <mergeCell ref="M59:M60"/>
    <mergeCell ref="O59:O60"/>
    <mergeCell ref="C59:C60"/>
    <mergeCell ref="D59:D60"/>
    <mergeCell ref="F59:F60"/>
    <mergeCell ref="G59:G60"/>
    <mergeCell ref="L56:M56"/>
    <mergeCell ref="Q56:Q57"/>
    <mergeCell ref="R56:S57"/>
    <mergeCell ref="T56:U57"/>
    <mergeCell ref="C56:C57"/>
    <mergeCell ref="D56:D57"/>
    <mergeCell ref="E56:F56"/>
    <mergeCell ref="G56:G57"/>
    <mergeCell ref="E57:F57"/>
    <mergeCell ref="P51:P52"/>
    <mergeCell ref="L52:N52"/>
    <mergeCell ref="L18:M18"/>
    <mergeCell ref="H51:H52"/>
    <mergeCell ref="I51:J52"/>
    <mergeCell ref="K51:L51"/>
    <mergeCell ref="O51:O52"/>
    <mergeCell ref="L19:M19"/>
    <mergeCell ref="H38:H39"/>
    <mergeCell ref="I38:J39"/>
    <mergeCell ref="C51:C52"/>
    <mergeCell ref="D51:D52"/>
    <mergeCell ref="E51:E52"/>
    <mergeCell ref="G51:G52"/>
    <mergeCell ref="H44:K44"/>
    <mergeCell ref="M44:N44"/>
    <mergeCell ref="P13:R13"/>
    <mergeCell ref="F14:H14"/>
    <mergeCell ref="I14:K14"/>
    <mergeCell ref="M43:N43"/>
    <mergeCell ref="H43:I43"/>
    <mergeCell ref="F13:H13"/>
    <mergeCell ref="I13:K13"/>
    <mergeCell ref="H28:H29"/>
    <mergeCell ref="B1:U2"/>
    <mergeCell ref="L15:U15"/>
    <mergeCell ref="B15:K15"/>
    <mergeCell ref="R7:U7"/>
    <mergeCell ref="R4:U4"/>
    <mergeCell ref="R5:U5"/>
    <mergeCell ref="S9:T9"/>
    <mergeCell ref="S8:T8"/>
    <mergeCell ref="B10:U10"/>
    <mergeCell ref="I12:K12"/>
    <mergeCell ref="C43:C44"/>
    <mergeCell ref="D43:D44"/>
    <mergeCell ref="E43:F43"/>
    <mergeCell ref="G43:G44"/>
    <mergeCell ref="E44:F44"/>
    <mergeCell ref="P11:R11"/>
    <mergeCell ref="W23:W24"/>
    <mergeCell ref="I28:J29"/>
    <mergeCell ref="K28:L28"/>
    <mergeCell ref="O28:O29"/>
    <mergeCell ref="L29:N29"/>
    <mergeCell ref="P28:P29"/>
    <mergeCell ref="P12:R12"/>
    <mergeCell ref="P18:Q18"/>
    <mergeCell ref="F12:H12"/>
    <mergeCell ref="C28:C29"/>
    <mergeCell ref="D28:D29"/>
    <mergeCell ref="E28:E29"/>
    <mergeCell ref="G28:G29"/>
    <mergeCell ref="Z19:AA19"/>
    <mergeCell ref="W21:W22"/>
    <mergeCell ref="B25:U25"/>
    <mergeCell ref="T18:T21"/>
    <mergeCell ref="P23:Q23"/>
    <mergeCell ref="AN36:AO36"/>
    <mergeCell ref="AB37:AC37"/>
    <mergeCell ref="AD37:AE37"/>
    <mergeCell ref="AF37:AG37"/>
    <mergeCell ref="AH37:AI37"/>
    <mergeCell ref="AJ37:AK37"/>
    <mergeCell ref="AL37:AM37"/>
    <mergeCell ref="AN37:AO37"/>
    <mergeCell ref="AB38:AC38"/>
    <mergeCell ref="AD38:AE38"/>
    <mergeCell ref="AF38:AG38"/>
    <mergeCell ref="AH38:AI38"/>
    <mergeCell ref="AJ38:AK38"/>
    <mergeCell ref="AL38:AM38"/>
    <mergeCell ref="AN38:AO38"/>
    <mergeCell ref="AB39:AC39"/>
    <mergeCell ref="AD39:AE39"/>
    <mergeCell ref="AF39:AG39"/>
    <mergeCell ref="AH39:AI39"/>
    <mergeCell ref="AJ39:AK39"/>
    <mergeCell ref="AL39:AM39"/>
    <mergeCell ref="AN39:AO39"/>
    <mergeCell ref="AL44:AM44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C38:C39"/>
    <mergeCell ref="D38:D39"/>
    <mergeCell ref="E38:E39"/>
    <mergeCell ref="G38:G39"/>
    <mergeCell ref="R3:U3"/>
    <mergeCell ref="K38:L38"/>
    <mergeCell ref="O38:O39"/>
    <mergeCell ref="P38:P39"/>
    <mergeCell ref="L39:N39"/>
    <mergeCell ref="R17:S17"/>
    <mergeCell ref="N21:O22"/>
    <mergeCell ref="P17:Q17"/>
    <mergeCell ref="N19:O20"/>
    <mergeCell ref="P19:P20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65"/>
  <sheetViews>
    <sheetView zoomScaleSheetLayoutView="100" workbookViewId="0" topLeftCell="A1">
      <selection activeCell="Q9" sqref="Q9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1" ht="11.25" customHeight="1">
      <c r="B1" s="133" t="s">
        <v>277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2:21" ht="11.25" customHeight="1">
      <c r="B2" s="136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2"/>
    </row>
    <row r="3" spans="1:21" ht="11.25" customHeight="1">
      <c r="A3" s="3">
        <v>1</v>
      </c>
      <c r="B3" s="4" t="s">
        <v>278</v>
      </c>
      <c r="C3" s="5"/>
      <c r="D3" s="5"/>
      <c r="E3" s="13" t="str">
        <f>project</f>
        <v>P</v>
      </c>
      <c r="F3" s="5"/>
      <c r="G3" s="5"/>
      <c r="H3" s="5"/>
      <c r="I3" s="5"/>
      <c r="J3" s="5"/>
      <c r="K3" s="5"/>
      <c r="L3" s="5"/>
      <c r="M3" s="5"/>
      <c r="N3" s="5"/>
      <c r="O3" s="5"/>
      <c r="P3" s="15" t="str">
        <f>jobnoid</f>
        <v>Job No.</v>
      </c>
      <c r="Q3" s="15"/>
      <c r="R3" s="186" t="str">
        <f>jobno</f>
        <v>J</v>
      </c>
      <c r="S3" s="186"/>
      <c r="T3" s="186"/>
      <c r="U3" s="187"/>
    </row>
    <row r="4" spans="1:21" ht="11.25" customHeight="1">
      <c r="A4" s="3">
        <v>2</v>
      </c>
      <c r="B4" s="7" t="s">
        <v>280</v>
      </c>
      <c r="C4" s="6"/>
      <c r="D4" s="6"/>
      <c r="E4" s="30" t="str">
        <f>client</f>
        <v>A</v>
      </c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279</v>
      </c>
      <c r="Q4" s="6"/>
      <c r="R4" s="191" t="s">
        <v>343</v>
      </c>
      <c r="S4" s="191"/>
      <c r="T4" s="191"/>
      <c r="U4" s="192"/>
    </row>
    <row r="5" spans="1:21" ht="11.25" customHeight="1">
      <c r="A5" s="3">
        <v>3</v>
      </c>
      <c r="B5" s="7" t="s">
        <v>282</v>
      </c>
      <c r="C5" s="6"/>
      <c r="D5" s="6"/>
      <c r="E5" s="30" t="str">
        <f>contractor</f>
        <v>B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281</v>
      </c>
      <c r="Q5" s="6"/>
      <c r="R5" s="165" t="s">
        <v>353</v>
      </c>
      <c r="S5" s="165"/>
      <c r="T5" s="165"/>
      <c r="U5" s="174"/>
    </row>
    <row r="6" spans="1:21" ht="11.25" customHeight="1">
      <c r="A6" s="3">
        <v>4</v>
      </c>
      <c r="B6" s="10"/>
      <c r="C6" s="11"/>
      <c r="D6" s="11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 t="s">
        <v>283</v>
      </c>
      <c r="Q6" s="11"/>
      <c r="R6" s="113">
        <v>0</v>
      </c>
      <c r="S6" s="128"/>
      <c r="T6" s="128"/>
      <c r="U6" s="129"/>
    </row>
    <row r="7" spans="1:21" ht="11.25" customHeight="1">
      <c r="A7" s="3">
        <v>5</v>
      </c>
      <c r="B7" s="4" t="s">
        <v>286</v>
      </c>
      <c r="C7" s="5"/>
      <c r="D7" s="5"/>
      <c r="E7" s="13" t="str">
        <f>service</f>
        <v>Steam Surface Condenser</v>
      </c>
      <c r="F7" s="5"/>
      <c r="G7" s="5"/>
      <c r="H7" s="5"/>
      <c r="I7" s="5"/>
      <c r="J7" s="5"/>
      <c r="K7" s="5"/>
      <c r="L7" s="5"/>
      <c r="M7" s="13"/>
      <c r="N7" s="5"/>
      <c r="O7" s="5"/>
      <c r="P7" s="5" t="s">
        <v>287</v>
      </c>
      <c r="Q7" s="5"/>
      <c r="R7" s="189" t="str">
        <f>itemno</f>
        <v>SSC - 001</v>
      </c>
      <c r="S7" s="189"/>
      <c r="T7" s="189"/>
      <c r="U7" s="190"/>
    </row>
    <row r="8" spans="1:21" ht="11.25" customHeight="1">
      <c r="A8" s="3">
        <v>6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30"/>
      <c r="N8" s="6"/>
      <c r="O8" s="6"/>
      <c r="P8" s="6"/>
      <c r="Q8" s="6"/>
      <c r="R8" s="6"/>
      <c r="S8" s="165"/>
      <c r="T8" s="165"/>
      <c r="U8" s="1"/>
    </row>
    <row r="9" spans="1:21" ht="11.25" customHeight="1">
      <c r="A9" s="3">
        <v>7</v>
      </c>
      <c r="B9" s="18"/>
      <c r="H9" s="33"/>
      <c r="I9" s="9"/>
      <c r="J9" s="9"/>
      <c r="K9" s="11"/>
      <c r="L9" s="11"/>
      <c r="M9" s="41"/>
      <c r="O9" s="33"/>
      <c r="P9" s="11" t="s">
        <v>284</v>
      </c>
      <c r="Q9" s="11"/>
      <c r="R9" s="55">
        <v>2</v>
      </c>
      <c r="S9" s="160" t="s">
        <v>285</v>
      </c>
      <c r="T9" s="160"/>
      <c r="U9" s="111">
        <f>sheetqty</f>
        <v>2</v>
      </c>
    </row>
    <row r="10" spans="1:23" ht="11.25" customHeight="1">
      <c r="A10" s="3">
        <v>8</v>
      </c>
      <c r="B10" s="140" t="s">
        <v>288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2"/>
      <c r="W10" s="37" t="s">
        <v>289</v>
      </c>
    </row>
    <row r="11" spans="1:25" ht="11.25" customHeight="1">
      <c r="A11" s="3">
        <v>9</v>
      </c>
      <c r="B11" s="7" t="s">
        <v>290</v>
      </c>
      <c r="C11" s="6"/>
      <c r="D11" s="6"/>
      <c r="E11" s="30" t="str">
        <f>fname</f>
        <v>Water</v>
      </c>
      <c r="F11" s="6"/>
      <c r="G11" s="6"/>
      <c r="H11" s="6"/>
      <c r="I11" s="6"/>
      <c r="J11" s="6"/>
      <c r="K11" s="6"/>
      <c r="L11" s="43"/>
      <c r="M11" s="9"/>
      <c r="N11" s="9"/>
      <c r="O11" s="9"/>
      <c r="P11" s="169"/>
      <c r="Q11" s="169"/>
      <c r="R11" s="169"/>
      <c r="S11" s="9"/>
      <c r="T11" s="9"/>
      <c r="U11" s="45"/>
      <c r="W11" s="2" t="str">
        <f>F12</f>
        <v>Pressure</v>
      </c>
      <c r="Y11" s="2" t="str">
        <f>punit</f>
        <v>kg/cm2.g</v>
      </c>
    </row>
    <row r="12" spans="1:25" ht="11.25" customHeight="1">
      <c r="A12" s="3">
        <v>10</v>
      </c>
      <c r="B12" s="18"/>
      <c r="C12" s="9"/>
      <c r="D12" s="9"/>
      <c r="E12" s="9"/>
      <c r="F12" s="130" t="s">
        <v>291</v>
      </c>
      <c r="G12" s="130"/>
      <c r="H12" s="130"/>
      <c r="I12" s="130" t="s">
        <v>292</v>
      </c>
      <c r="J12" s="130"/>
      <c r="K12" s="130"/>
      <c r="L12" s="18"/>
      <c r="M12" s="6"/>
      <c r="N12" s="6"/>
      <c r="O12" s="6"/>
      <c r="P12" s="163"/>
      <c r="Q12" s="163"/>
      <c r="R12" s="163"/>
      <c r="S12" s="39"/>
      <c r="T12" s="39"/>
      <c r="U12" s="40"/>
      <c r="W12" s="2" t="str">
        <f>I12</f>
        <v>Temperature</v>
      </c>
      <c r="Y12" s="2" t="str">
        <f>tunit</f>
        <v>℃</v>
      </c>
    </row>
    <row r="13" spans="1:21" ht="11.25" customHeight="1">
      <c r="A13" s="3">
        <v>11</v>
      </c>
      <c r="B13" s="7"/>
      <c r="C13" s="6"/>
      <c r="D13" s="6"/>
      <c r="E13" s="6"/>
      <c r="F13" s="169" t="str">
        <f>Y11</f>
        <v>kg/cm2.g</v>
      </c>
      <c r="G13" s="169"/>
      <c r="H13" s="169"/>
      <c r="I13" s="169" t="str">
        <f>Y12</f>
        <v>℃</v>
      </c>
      <c r="J13" s="169"/>
      <c r="K13" s="169"/>
      <c r="L13" s="7" t="s">
        <v>293</v>
      </c>
      <c r="M13" s="6"/>
      <c r="N13" s="6"/>
      <c r="O13" s="6"/>
      <c r="P13" s="165">
        <v>0</v>
      </c>
      <c r="Q13" s="165"/>
      <c r="R13" s="165"/>
      <c r="S13" s="39" t="s">
        <v>294</v>
      </c>
      <c r="T13" s="61"/>
      <c r="U13" s="62"/>
    </row>
    <row r="14" spans="1:21" ht="11.25" customHeight="1">
      <c r="A14" s="3">
        <v>12</v>
      </c>
      <c r="B14" s="18" t="s">
        <v>295</v>
      </c>
      <c r="C14" s="9"/>
      <c r="D14" s="9"/>
      <c r="E14" s="9"/>
      <c r="F14" s="191">
        <f>dgnp</f>
        <v>0.1</v>
      </c>
      <c r="G14" s="191"/>
      <c r="H14" s="191"/>
      <c r="I14" s="191">
        <f>dgnt</f>
        <v>150</v>
      </c>
      <c r="J14" s="191"/>
      <c r="K14" s="191"/>
      <c r="L14" s="21"/>
      <c r="U14" s="25"/>
    </row>
    <row r="15" spans="1:23" ht="11.25" customHeight="1">
      <c r="A15" s="3">
        <v>13</v>
      </c>
      <c r="B15" s="140" t="s">
        <v>296</v>
      </c>
      <c r="C15" s="141"/>
      <c r="D15" s="141"/>
      <c r="E15" s="141"/>
      <c r="F15" s="141"/>
      <c r="G15" s="141"/>
      <c r="H15" s="141"/>
      <c r="I15" s="141"/>
      <c r="J15" s="141"/>
      <c r="K15" s="142"/>
      <c r="L15" s="140" t="s">
        <v>297</v>
      </c>
      <c r="M15" s="141"/>
      <c r="N15" s="141"/>
      <c r="O15" s="141"/>
      <c r="P15" s="141"/>
      <c r="Q15" s="141"/>
      <c r="R15" s="141"/>
      <c r="S15" s="141"/>
      <c r="T15" s="141"/>
      <c r="U15" s="142"/>
      <c r="V15" s="34"/>
      <c r="W15" s="37" t="s">
        <v>298</v>
      </c>
    </row>
    <row r="16" spans="1:23" ht="11.25" customHeight="1">
      <c r="A16" s="3">
        <v>14</v>
      </c>
      <c r="B16" s="4" t="s">
        <v>299</v>
      </c>
      <c r="C16" s="5"/>
      <c r="D16" s="5"/>
      <c r="E16" s="57"/>
      <c r="F16" s="2" t="str">
        <f>shellm</f>
        <v>A 516-60N</v>
      </c>
      <c r="G16" s="5"/>
      <c r="H16" s="5"/>
      <c r="I16" s="13">
        <f>shellt</f>
        <v>9</v>
      </c>
      <c r="J16" s="5" t="s">
        <v>300</v>
      </c>
      <c r="K16" s="5"/>
      <c r="L16" s="19"/>
      <c r="M16" s="20"/>
      <c r="N16" s="20"/>
      <c r="O16" s="60" t="str">
        <f>B17&amp;" "&amp;C19</f>
        <v> Stiffener Vert.</v>
      </c>
      <c r="P16" s="23" t="s">
        <v>301</v>
      </c>
      <c r="Q16" s="23">
        <f>IF(P17&lt;=0,0,INT(P23/P17)-IF(INT(P23/P17)=P23/P17,1))</f>
        <v>3</v>
      </c>
      <c r="R16" s="20"/>
      <c r="S16" s="20"/>
      <c r="T16" s="20"/>
      <c r="U16" s="22"/>
      <c r="W16" s="37" t="str">
        <f>B16</f>
        <v> Shell</v>
      </c>
    </row>
    <row r="17" spans="1:25" ht="11.25" customHeight="1">
      <c r="A17" s="3">
        <v>15</v>
      </c>
      <c r="B17" s="7" t="s">
        <v>302</v>
      </c>
      <c r="C17" s="6"/>
      <c r="D17" s="6"/>
      <c r="E17" s="17"/>
      <c r="F17" s="6" t="str">
        <f>stfnm</f>
        <v>A 36</v>
      </c>
      <c r="G17" s="6"/>
      <c r="H17" s="6"/>
      <c r="I17" s="6"/>
      <c r="J17" s="6"/>
      <c r="K17" s="6"/>
      <c r="L17" s="19"/>
      <c r="M17" s="20"/>
      <c r="N17" s="72"/>
      <c r="O17" s="72"/>
      <c r="P17" s="193">
        <f>spanh</f>
        <v>750</v>
      </c>
      <c r="Q17" s="193"/>
      <c r="R17" s="152">
        <f>(P23-P17*(Q16-1))/2</f>
        <v>750</v>
      </c>
      <c r="S17" s="152"/>
      <c r="T17" s="20"/>
      <c r="U17" s="22"/>
      <c r="V17" s="20"/>
      <c r="W17" s="2" t="str">
        <f>shellmcode</f>
        <v>ASTM</v>
      </c>
      <c r="Y17" s="2" t="str">
        <f>shellmkind</f>
        <v>plate</v>
      </c>
    </row>
    <row r="18" spans="1:21" ht="11.25" customHeight="1">
      <c r="A18" s="3">
        <v>16</v>
      </c>
      <c r="B18" s="7"/>
      <c r="C18" s="30" t="s">
        <v>303</v>
      </c>
      <c r="D18" s="6"/>
      <c r="E18" s="17"/>
      <c r="F18" s="6" t="str">
        <f>IF(X21="Flat Bar","FB "&amp;AC21&amp;" x "&amp;AE21,X22)</f>
        <v>FB 50 x 6</v>
      </c>
      <c r="G18" s="6"/>
      <c r="H18" s="6"/>
      <c r="I18" s="6"/>
      <c r="J18" s="6"/>
      <c r="K18" s="6"/>
      <c r="L18" s="178" t="s">
        <v>304</v>
      </c>
      <c r="M18" s="179"/>
      <c r="N18" s="72"/>
      <c r="O18" s="72"/>
      <c r="P18" s="196" t="str">
        <f>spanhsymbol</f>
        <v>b</v>
      </c>
      <c r="Q18" s="196"/>
      <c r="R18" s="20"/>
      <c r="S18" s="20"/>
      <c r="T18" s="194">
        <f>platev</f>
        <v>2000</v>
      </c>
      <c r="U18" s="22"/>
    </row>
    <row r="19" spans="1:32" ht="11.25" customHeight="1">
      <c r="A19" s="3">
        <v>17</v>
      </c>
      <c r="B19" s="7"/>
      <c r="C19" s="30" t="s">
        <v>305</v>
      </c>
      <c r="D19" s="6"/>
      <c r="E19" s="17"/>
      <c r="F19" s="6" t="str">
        <f>IF(X23="Flat Bar","FB "&amp;AC23&amp;" x "&amp;AE23,X24)</f>
        <v>FB 50 x 6</v>
      </c>
      <c r="G19" s="6"/>
      <c r="H19" s="6"/>
      <c r="I19" s="6"/>
      <c r="J19" s="6"/>
      <c r="K19" s="6"/>
      <c r="L19" s="178" t="str">
        <f>C18</f>
        <v>Horiz.</v>
      </c>
      <c r="M19" s="179"/>
      <c r="N19" s="195">
        <f>spanv</f>
        <v>750</v>
      </c>
      <c r="O19" s="195"/>
      <c r="P19" s="185" t="str">
        <f>spanvsymbol</f>
        <v>a</v>
      </c>
      <c r="Q19" s="20"/>
      <c r="R19" s="20"/>
      <c r="S19" s="20"/>
      <c r="T19" s="194"/>
      <c r="U19" s="22"/>
      <c r="W19" s="37" t="str">
        <f>B17</f>
        <v> Stiffener</v>
      </c>
      <c r="Z19" s="138" t="s">
        <v>91</v>
      </c>
      <c r="AA19" s="138"/>
      <c r="AC19" s="38" t="s">
        <v>92</v>
      </c>
      <c r="AD19" s="38" t="s">
        <v>89</v>
      </c>
      <c r="AE19" s="38" t="s">
        <v>90</v>
      </c>
      <c r="AF19" s="38" t="s">
        <v>93</v>
      </c>
    </row>
    <row r="20" spans="1:27" ht="11.25" customHeight="1">
      <c r="A20" s="3">
        <v>18</v>
      </c>
      <c r="B20" s="7"/>
      <c r="C20" s="6"/>
      <c r="D20" s="6"/>
      <c r="E20" s="17"/>
      <c r="F20" s="6"/>
      <c r="G20" s="6"/>
      <c r="H20" s="6"/>
      <c r="I20" s="6"/>
      <c r="J20" s="6"/>
      <c r="K20" s="6"/>
      <c r="L20" s="58" t="s">
        <v>301</v>
      </c>
      <c r="M20" s="23">
        <f>IF(N19&lt;=0,0,INT(T18/N19)-IF(INT(T18/N19)=T18/N19,1))</f>
        <v>2</v>
      </c>
      <c r="N20" s="195"/>
      <c r="O20" s="195"/>
      <c r="P20" s="185"/>
      <c r="Q20" s="20"/>
      <c r="R20" s="20"/>
      <c r="S20" s="20"/>
      <c r="T20" s="194"/>
      <c r="U20" s="22"/>
      <c r="W20" s="2" t="str">
        <f>stfnmcode</f>
        <v>ASTM</v>
      </c>
      <c r="Z20" s="3" t="s">
        <v>94</v>
      </c>
      <c r="AA20" s="3" t="s">
        <v>90</v>
      </c>
    </row>
    <row r="21" spans="1:32" ht="11.25" customHeight="1">
      <c r="A21" s="3">
        <v>19</v>
      </c>
      <c r="B21" s="7"/>
      <c r="C21" s="6"/>
      <c r="D21" s="6"/>
      <c r="E21" s="17"/>
      <c r="F21" s="6"/>
      <c r="G21" s="6"/>
      <c r="H21" s="6"/>
      <c r="I21" s="6"/>
      <c r="J21" s="6"/>
      <c r="K21" s="6"/>
      <c r="L21" s="19"/>
      <c r="M21" s="20"/>
      <c r="N21" s="153">
        <f>(T18-N19*(M20-1))/2</f>
        <v>625</v>
      </c>
      <c r="O21" s="153"/>
      <c r="P21" s="20"/>
      <c r="Q21" s="20"/>
      <c r="R21" s="20"/>
      <c r="S21" s="20"/>
      <c r="T21" s="194"/>
      <c r="U21" s="22"/>
      <c r="W21" s="139" t="str">
        <f>C18</f>
        <v>Horiz.</v>
      </c>
      <c r="X21" s="2" t="str">
        <f>stfnhkind</f>
        <v>Flat Bar</v>
      </c>
      <c r="Z21" s="36">
        <f>fbhh</f>
        <v>50</v>
      </c>
      <c r="AA21" s="36">
        <f>fbht</f>
        <v>6</v>
      </c>
      <c r="AB21" s="2" t="s">
        <v>95</v>
      </c>
      <c r="AC21" s="36">
        <f>IF(X21="Flat Bar",Z21,AC22)</f>
        <v>50</v>
      </c>
      <c r="AD21" s="36" t="str">
        <f>IF(X21="Flat Bar","***",AD22)</f>
        <v>***</v>
      </c>
      <c r="AE21" s="36">
        <f>IF(X21="Flat Bar",AA21,AE22)</f>
        <v>6</v>
      </c>
      <c r="AF21" s="36" t="str">
        <f>IF(X21="Flat Bar","***",IF(X21="L Angle","***",AF22))</f>
        <v>***</v>
      </c>
    </row>
    <row r="22" spans="1:32" ht="11.25" customHeight="1">
      <c r="A22" s="3">
        <v>20</v>
      </c>
      <c r="B22" s="7"/>
      <c r="C22" s="6"/>
      <c r="D22" s="6"/>
      <c r="E22" s="17"/>
      <c r="F22" s="6"/>
      <c r="G22" s="6"/>
      <c r="H22" s="6"/>
      <c r="I22" s="6"/>
      <c r="J22" s="6"/>
      <c r="K22" s="6"/>
      <c r="L22" s="19"/>
      <c r="M22" s="20"/>
      <c r="N22" s="153"/>
      <c r="O22" s="153"/>
      <c r="P22" s="20"/>
      <c r="Q22" s="20"/>
      <c r="R22" s="20"/>
      <c r="S22" s="20"/>
      <c r="T22" s="20"/>
      <c r="U22" s="22"/>
      <c r="W22" s="139"/>
      <c r="X22" s="2" t="str">
        <f>stfnhsize</f>
        <v>L 50 x 50 x 6</v>
      </c>
      <c r="AB22" s="2" t="s">
        <v>96</v>
      </c>
      <c r="AC22" s="3" t="str">
        <f>IF(X21="Flat Bar","***",shapesteel(X21,X22,2))</f>
        <v>***</v>
      </c>
      <c r="AD22" s="3" t="str">
        <f>IF(X21="Flat Bar","***",shapesteel(X21,X22,3))</f>
        <v>***</v>
      </c>
      <c r="AE22" s="3" t="str">
        <f>IF(X21="Flat Bar","***",shapesteel(X21,X22,4))</f>
        <v>***</v>
      </c>
      <c r="AF22" s="3" t="str">
        <f>IF(X21="Flat Bar","***",IF(X21="L Angle","***",shapesteel(X21,X22,5)))</f>
        <v>***</v>
      </c>
    </row>
    <row r="23" spans="1:32" ht="11.25" customHeight="1">
      <c r="A23" s="3">
        <v>21</v>
      </c>
      <c r="B23" s="7"/>
      <c r="C23" s="6"/>
      <c r="D23" s="6"/>
      <c r="E23" s="17"/>
      <c r="F23" s="6"/>
      <c r="G23" s="6"/>
      <c r="H23" s="6"/>
      <c r="I23" s="6"/>
      <c r="J23" s="6"/>
      <c r="K23" s="6"/>
      <c r="L23" s="19"/>
      <c r="M23" s="20"/>
      <c r="N23" s="20"/>
      <c r="O23" s="20"/>
      <c r="P23" s="193">
        <f>plateh</f>
        <v>3000</v>
      </c>
      <c r="Q23" s="193"/>
      <c r="R23" s="20"/>
      <c r="S23" s="20"/>
      <c r="T23" s="20"/>
      <c r="U23" s="22"/>
      <c r="W23" s="139" t="str">
        <f>C19</f>
        <v>Vert.</v>
      </c>
      <c r="X23" s="2" t="str">
        <f>stfnvkind</f>
        <v>Flat Bar</v>
      </c>
      <c r="Z23" s="36">
        <f>fbvh</f>
        <v>50</v>
      </c>
      <c r="AA23" s="36">
        <f>fbvt</f>
        <v>6</v>
      </c>
      <c r="AB23" s="2" t="s">
        <v>95</v>
      </c>
      <c r="AC23" s="36">
        <f>IF(X23="Flat Bar",Z23,AC24)</f>
        <v>50</v>
      </c>
      <c r="AD23" s="36" t="str">
        <f>IF(X23="Flat Bar","***",AD24)</f>
        <v>***</v>
      </c>
      <c r="AE23" s="36">
        <f>IF(X23="Flat Bar",AA23,AE24)</f>
        <v>6</v>
      </c>
      <c r="AF23" s="36" t="str">
        <f>IF(X23="Flat Bar","***",IF(X23="L Angle","***",AF24))</f>
        <v>***</v>
      </c>
    </row>
    <row r="24" spans="1:32" ht="11.25" customHeight="1">
      <c r="A24" s="3">
        <v>22</v>
      </c>
      <c r="B24" s="18"/>
      <c r="C24" s="9"/>
      <c r="D24" s="9"/>
      <c r="E24" s="103"/>
      <c r="F24" s="9"/>
      <c r="G24" s="9"/>
      <c r="H24" s="9"/>
      <c r="I24" s="9"/>
      <c r="J24" s="9"/>
      <c r="K24" s="9"/>
      <c r="L24" s="19"/>
      <c r="M24" s="20"/>
      <c r="N24" s="20"/>
      <c r="O24" s="20"/>
      <c r="P24" s="20"/>
      <c r="Q24" s="20"/>
      <c r="R24" s="20"/>
      <c r="S24" s="20"/>
      <c r="T24" s="20"/>
      <c r="U24" s="22"/>
      <c r="W24" s="139"/>
      <c r="X24" s="2" t="str">
        <f>stfnvsize</f>
        <v>L 50 x 50 x 6</v>
      </c>
      <c r="AB24" s="2" t="s">
        <v>96</v>
      </c>
      <c r="AC24" s="3" t="str">
        <f>IF(X23="Flat Bar","***",shapesteel(X23,X24,2))</f>
        <v>***</v>
      </c>
      <c r="AD24" s="3" t="str">
        <f>IF(X23="Flat Bar","***",shapesteel(X23,X24,3))</f>
        <v>***</v>
      </c>
      <c r="AE24" s="3" t="str">
        <f>IF(X23="Flat Bar","***",shapesteel(X23,X24,4))</f>
        <v>***</v>
      </c>
      <c r="AF24" s="3" t="str">
        <f>IF(X23="Flat Bar","***",IF(X23="L Angle","***",shapesteel(X23,X24,5)))</f>
        <v>***</v>
      </c>
    </row>
    <row r="25" spans="1:21" ht="11.25" customHeight="1">
      <c r="A25" s="3">
        <v>23</v>
      </c>
      <c r="B25" s="140" t="s">
        <v>306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2"/>
    </row>
    <row r="26" spans="1:21" ht="11.25" customHeight="1">
      <c r="A26" s="3">
        <v>24</v>
      </c>
      <c r="B26" s="110" t="str">
        <f>" "&amp;C18&amp;" "&amp;B17</f>
        <v> Horiz.  Stiffener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2"/>
    </row>
    <row r="27" spans="1:22" ht="11.25" customHeight="1">
      <c r="A27" s="3">
        <v>25</v>
      </c>
      <c r="B27" s="19"/>
      <c r="C27" s="96" t="s">
        <v>180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65"/>
      <c r="O27" s="20"/>
      <c r="P27" s="20"/>
      <c r="Q27" s="20"/>
      <c r="R27" s="20"/>
      <c r="S27" s="20"/>
      <c r="T27" s="20"/>
      <c r="U27" s="22"/>
      <c r="V27" s="63"/>
    </row>
    <row r="28" spans="1:21" ht="11.25" customHeight="1">
      <c r="A28" s="3">
        <v>26</v>
      </c>
      <c r="B28" s="19"/>
      <c r="C28" s="157" t="s">
        <v>181</v>
      </c>
      <c r="D28" s="158" t="s">
        <v>97</v>
      </c>
      <c r="E28" s="170" t="str">
        <f>"P  "&amp;Q35&amp;"  "&amp;P18&amp;"^2"</f>
        <v>P  a  b^2</v>
      </c>
      <c r="F28" s="170"/>
      <c r="G28" s="149" t="s">
        <v>104</v>
      </c>
      <c r="H28" s="23">
        <f>F14</f>
        <v>0.1</v>
      </c>
      <c r="I28" s="23" t="s">
        <v>42</v>
      </c>
      <c r="J28" s="152">
        <f>R35</f>
        <v>750</v>
      </c>
      <c r="K28" s="152"/>
      <c r="L28" s="23" t="s">
        <v>42</v>
      </c>
      <c r="M28" s="152">
        <f>P17</f>
        <v>750</v>
      </c>
      <c r="N28" s="170"/>
      <c r="O28" s="20" t="s">
        <v>115</v>
      </c>
      <c r="P28" s="20"/>
      <c r="Q28" s="20"/>
      <c r="R28" s="20"/>
      <c r="S28" s="20"/>
      <c r="T28" s="20"/>
      <c r="U28" s="22"/>
    </row>
    <row r="29" spans="1:28" ht="11.25" customHeight="1">
      <c r="A29" s="3">
        <v>27</v>
      </c>
      <c r="B29" s="19"/>
      <c r="C29" s="157"/>
      <c r="D29" s="158"/>
      <c r="E29" s="180">
        <v>12</v>
      </c>
      <c r="F29" s="180"/>
      <c r="G29" s="149"/>
      <c r="H29" s="44"/>
      <c r="I29" s="44"/>
      <c r="J29" s="44"/>
      <c r="K29" s="64">
        <f>E29</f>
        <v>12</v>
      </c>
      <c r="L29" s="44"/>
      <c r="M29" s="44"/>
      <c r="N29" s="44"/>
      <c r="O29" s="44"/>
      <c r="P29" s="20"/>
      <c r="Q29" s="20"/>
      <c r="R29" s="20"/>
      <c r="S29" s="20"/>
      <c r="T29" s="20"/>
      <c r="U29" s="22"/>
      <c r="V29" s="65"/>
      <c r="W29" s="65"/>
      <c r="X29" s="65"/>
      <c r="Y29" s="65"/>
      <c r="Z29" s="65"/>
      <c r="AA29" s="65"/>
      <c r="AB29" s="20"/>
    </row>
    <row r="30" spans="1:27" ht="11.25" customHeight="1">
      <c r="A30" s="3">
        <v>28</v>
      </c>
      <c r="B30" s="19"/>
      <c r="C30" s="20"/>
      <c r="D30" s="20" t="s">
        <v>182</v>
      </c>
      <c r="E30" s="188">
        <f>H28*J28*M28^2/K29</f>
        <v>3515625</v>
      </c>
      <c r="F30" s="188"/>
      <c r="G30" s="188"/>
      <c r="H30" s="20" t="str">
        <f>upsx(F13)&amp;"-mm3"</f>
        <v>kg/cm2-mm3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2"/>
      <c r="W30" s="65"/>
      <c r="X30" s="65"/>
      <c r="Y30" s="65"/>
      <c r="AA30" s="63"/>
    </row>
    <row r="31" spans="1:26" ht="11.25" customHeight="1">
      <c r="A31" s="3">
        <v>29</v>
      </c>
      <c r="B31" s="19"/>
      <c r="C31" s="96" t="s">
        <v>195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2"/>
      <c r="V31" s="63"/>
      <c r="W31" s="65"/>
      <c r="X31" s="65"/>
      <c r="Y31" s="65"/>
      <c r="Z31" s="63"/>
    </row>
    <row r="32" spans="1:26" ht="11.25" customHeight="1">
      <c r="A32" s="3">
        <v>30</v>
      </c>
      <c r="B32" s="19"/>
      <c r="C32" s="157" t="s">
        <v>192</v>
      </c>
      <c r="D32" s="158" t="s">
        <v>97</v>
      </c>
      <c r="E32" s="170" t="str">
        <f>"5 P "&amp;Q35&amp;" "&amp;P18&amp;"^4"</f>
        <v>5 P a b^4</v>
      </c>
      <c r="F32" s="170"/>
      <c r="G32" s="149" t="s">
        <v>104</v>
      </c>
      <c r="H32" s="106">
        <v>5</v>
      </c>
      <c r="I32" s="23" t="s">
        <v>42</v>
      </c>
      <c r="J32" s="104">
        <f>H28</f>
        <v>0.1</v>
      </c>
      <c r="K32" s="23" t="s">
        <v>42</v>
      </c>
      <c r="L32" s="197">
        <f>J28</f>
        <v>750</v>
      </c>
      <c r="M32" s="198"/>
      <c r="N32" s="23" t="s">
        <v>42</v>
      </c>
      <c r="O32" s="152">
        <f>M28</f>
        <v>750</v>
      </c>
      <c r="P32" s="170"/>
      <c r="Q32" s="20" t="s">
        <v>194</v>
      </c>
      <c r="R32" s="72"/>
      <c r="S32" s="65"/>
      <c r="T32" s="72"/>
      <c r="U32" s="22"/>
      <c r="W32" s="63"/>
      <c r="X32" s="63"/>
      <c r="Y32" s="63"/>
      <c r="Z32" s="63"/>
    </row>
    <row r="33" spans="1:21" ht="11.25" customHeight="1">
      <c r="A33" s="3">
        <v>31</v>
      </c>
      <c r="B33" s="19"/>
      <c r="C33" s="157"/>
      <c r="D33" s="158"/>
      <c r="E33" s="137" t="s">
        <v>193</v>
      </c>
      <c r="F33" s="137"/>
      <c r="G33" s="149"/>
      <c r="H33" s="105">
        <v>384</v>
      </c>
      <c r="I33" s="64" t="s">
        <v>42</v>
      </c>
      <c r="J33" s="151">
        <f>moetema(mindex(F16,2),I14,I13,F13)</f>
        <v>1967751.1394940792</v>
      </c>
      <c r="K33" s="137"/>
      <c r="L33" s="137"/>
      <c r="M33" s="64" t="s">
        <v>42</v>
      </c>
      <c r="N33" s="151">
        <f>R42</f>
        <v>322261.3461538461</v>
      </c>
      <c r="O33" s="137"/>
      <c r="P33" s="137"/>
      <c r="Q33" s="44"/>
      <c r="R33" s="20"/>
      <c r="S33" s="65"/>
      <c r="T33" s="20"/>
      <c r="U33" s="22"/>
    </row>
    <row r="34" spans="1:27" ht="11.25" customHeight="1">
      <c r="A34" s="3">
        <v>32</v>
      </c>
      <c r="B34" s="19"/>
      <c r="C34" s="20"/>
      <c r="D34" s="20" t="s">
        <v>182</v>
      </c>
      <c r="E34" s="82">
        <f>H32*J32*L32*O32^4/(H33*J33*N33)</f>
        <v>0.48726667186620604</v>
      </c>
      <c r="F34" s="83" t="str">
        <f>IF(E34&lt;J34,"&lt;",IF(E34=J34,"=","&gt;"))</f>
        <v>&lt;</v>
      </c>
      <c r="G34" s="59" t="s">
        <v>99</v>
      </c>
      <c r="H34" s="59"/>
      <c r="I34" s="84" t="s">
        <v>100</v>
      </c>
      <c r="J34" s="82">
        <f>(I16-P13)/2</f>
        <v>4.5</v>
      </c>
      <c r="K34" s="59" t="s">
        <v>98</v>
      </c>
      <c r="L34" s="68" t="str">
        <f>IF(J34&gt;=E34,"OK  !","Not  Accepted  !")</f>
        <v>OK  !</v>
      </c>
      <c r="M34" s="20"/>
      <c r="N34" s="20"/>
      <c r="O34" s="20"/>
      <c r="P34" s="20"/>
      <c r="Q34" s="20"/>
      <c r="R34" s="20"/>
      <c r="S34" s="20"/>
      <c r="T34" s="20"/>
      <c r="U34" s="22"/>
      <c r="V34" s="63"/>
      <c r="W34" s="63"/>
      <c r="X34" s="63"/>
      <c r="Y34" s="63"/>
      <c r="Z34" s="63"/>
      <c r="AA34" s="63"/>
    </row>
    <row r="35" spans="1:27" ht="11.25" customHeight="1">
      <c r="A35" s="3">
        <v>33</v>
      </c>
      <c r="B35" s="19"/>
      <c r="C35" s="96" t="s">
        <v>189</v>
      </c>
      <c r="L35" s="20"/>
      <c r="M35" s="20"/>
      <c r="N35" s="20"/>
      <c r="O35" s="20"/>
      <c r="P35" s="20"/>
      <c r="Q35" s="78" t="str">
        <f>P19</f>
        <v>a</v>
      </c>
      <c r="R35" s="199">
        <f>N19</f>
        <v>750</v>
      </c>
      <c r="S35" s="199"/>
      <c r="T35" s="20"/>
      <c r="U35" s="22"/>
      <c r="V35" s="63"/>
      <c r="W35" s="63"/>
      <c r="X35" s="63"/>
      <c r="Y35" s="63"/>
      <c r="Z35" s="63"/>
      <c r="AA35" s="63"/>
    </row>
    <row r="36" spans="1:27" ht="11.25" customHeight="1">
      <c r="A36" s="3">
        <v>34</v>
      </c>
      <c r="B36" s="19"/>
      <c r="C36" s="157" t="s">
        <v>185</v>
      </c>
      <c r="D36" s="158" t="s">
        <v>97</v>
      </c>
      <c r="E36" s="152" t="str">
        <f>C28&amp;"  "&amp;O37</f>
        <v>  Mc  C1</v>
      </c>
      <c r="F36" s="152"/>
      <c r="G36" s="149" t="s">
        <v>104</v>
      </c>
      <c r="H36" s="152">
        <f>E30</f>
        <v>3515625</v>
      </c>
      <c r="I36" s="152"/>
      <c r="J36" s="152"/>
      <c r="K36" s="23" t="s">
        <v>42</v>
      </c>
      <c r="L36" s="89">
        <f>O38</f>
        <v>5.171794871794872</v>
      </c>
      <c r="O36" s="20"/>
      <c r="P36" s="20"/>
      <c r="Q36" s="20"/>
      <c r="R36" s="20"/>
      <c r="S36" s="20"/>
      <c r="T36" s="20"/>
      <c r="U36" s="22"/>
      <c r="V36" s="63"/>
      <c r="W36" s="63"/>
      <c r="X36" s="63"/>
      <c r="Y36" s="63"/>
      <c r="Z36" s="63"/>
      <c r="AA36" s="63"/>
    </row>
    <row r="37" spans="1:32" ht="11.25" customHeight="1">
      <c r="A37" s="3">
        <v>35</v>
      </c>
      <c r="B37" s="19"/>
      <c r="C37" s="157"/>
      <c r="D37" s="158"/>
      <c r="E37" s="151" t="str">
        <f>P42</f>
        <v>I</v>
      </c>
      <c r="F37" s="151"/>
      <c r="G37" s="149"/>
      <c r="H37" s="44"/>
      <c r="I37" s="151">
        <f>R42</f>
        <v>322261.3461538461</v>
      </c>
      <c r="J37" s="151"/>
      <c r="K37" s="151"/>
      <c r="L37" s="44"/>
      <c r="O37" s="78" t="s">
        <v>186</v>
      </c>
      <c r="P37" s="20"/>
      <c r="Q37" s="20"/>
      <c r="R37" s="20"/>
      <c r="S37" s="20"/>
      <c r="T37" s="101">
        <f>I16-P13</f>
        <v>9</v>
      </c>
      <c r="U37" s="22"/>
      <c r="W37" s="63"/>
      <c r="X37" s="63"/>
      <c r="AA37" s="67"/>
      <c r="AB37" s="59"/>
      <c r="AC37" s="67"/>
      <c r="AE37" s="68"/>
      <c r="AF37" s="68"/>
    </row>
    <row r="38" spans="1:32" ht="11.25" customHeight="1">
      <c r="A38" s="3">
        <v>36</v>
      </c>
      <c r="B38" s="19"/>
      <c r="C38" s="20"/>
      <c r="D38" s="20" t="s">
        <v>182</v>
      </c>
      <c r="E38" s="193">
        <f>H36*L36/I37</f>
        <v>56.42032953425881</v>
      </c>
      <c r="F38" s="193"/>
      <c r="G38" s="97" t="str">
        <f>upsx(F13)</f>
        <v>kg/cm2</v>
      </c>
      <c r="H38" s="50" t="str">
        <f>IF(E38&lt;J38,"&lt;",IF(E38=J38,"=","&gt;"))</f>
        <v>&lt;</v>
      </c>
      <c r="I38" s="2" t="s">
        <v>127</v>
      </c>
      <c r="J38" s="193">
        <f>stress(W17,Y17,F16,I14,I13,F13,3)</f>
        <v>1202.2489811829626</v>
      </c>
      <c r="K38" s="132"/>
      <c r="L38" s="102" t="str">
        <f>IF(J38&gt;=E38,"OK  !","Not  Accepted  !")</f>
        <v>OK  !</v>
      </c>
      <c r="M38" s="20"/>
      <c r="N38" s="20"/>
      <c r="O38" s="23">
        <f>spc1h</f>
        <v>5.171794871794872</v>
      </c>
      <c r="P38" s="20"/>
      <c r="Q38" s="20"/>
      <c r="R38" s="59"/>
      <c r="S38" s="59"/>
      <c r="T38" s="59"/>
      <c r="U38" s="22"/>
      <c r="V38" s="65"/>
      <c r="W38" s="63"/>
      <c r="X38" s="63"/>
      <c r="Y38" s="65"/>
      <c r="Z38" s="65"/>
      <c r="AA38" s="65"/>
      <c r="AB38" s="65"/>
      <c r="AC38" s="20"/>
      <c r="AD38" s="69"/>
      <c r="AE38" s="68"/>
      <c r="AF38" s="68"/>
    </row>
    <row r="39" spans="1:27" ht="11.25" customHeight="1">
      <c r="A39" s="3">
        <v>37</v>
      </c>
      <c r="B39" s="19"/>
      <c r="C39" s="96" t="s">
        <v>190</v>
      </c>
      <c r="M39" s="20"/>
      <c r="N39" s="20"/>
      <c r="O39" s="78" t="s">
        <v>187</v>
      </c>
      <c r="P39" s="20"/>
      <c r="Q39" s="20"/>
      <c r="R39" s="59"/>
      <c r="S39" s="100">
        <f>AC21</f>
        <v>50</v>
      </c>
      <c r="T39" s="20"/>
      <c r="U39" s="22"/>
      <c r="W39" s="63"/>
      <c r="X39" s="63"/>
      <c r="AA39" s="63"/>
    </row>
    <row r="40" spans="1:27" ht="11.25" customHeight="1">
      <c r="A40" s="3">
        <v>38</v>
      </c>
      <c r="B40" s="19"/>
      <c r="C40" s="157" t="s">
        <v>188</v>
      </c>
      <c r="D40" s="158" t="s">
        <v>97</v>
      </c>
      <c r="E40" s="152" t="str">
        <f>C28&amp;"  "&amp;O39</f>
        <v>  Mc  C2</v>
      </c>
      <c r="F40" s="152"/>
      <c r="G40" s="149" t="s">
        <v>104</v>
      </c>
      <c r="H40" s="152">
        <f>H36</f>
        <v>3515625</v>
      </c>
      <c r="I40" s="152"/>
      <c r="J40" s="152"/>
      <c r="K40" s="23" t="s">
        <v>42</v>
      </c>
      <c r="L40" s="75">
        <f>O40</f>
        <v>52.228205128205126</v>
      </c>
      <c r="M40" s="20"/>
      <c r="N40" s="20"/>
      <c r="O40" s="23">
        <f>spc2h</f>
        <v>52.228205128205126</v>
      </c>
      <c r="P40" s="20"/>
      <c r="Q40" s="20"/>
      <c r="R40" s="20"/>
      <c r="S40" s="20"/>
      <c r="T40" s="20"/>
      <c r="U40" s="22"/>
      <c r="V40" s="63"/>
      <c r="W40" s="63"/>
      <c r="X40" s="63"/>
      <c r="Y40" s="63"/>
      <c r="Z40" s="63"/>
      <c r="AA40" s="63"/>
    </row>
    <row r="41" spans="1:27" ht="11.25" customHeight="1">
      <c r="A41" s="3">
        <v>39</v>
      </c>
      <c r="B41" s="19"/>
      <c r="C41" s="157"/>
      <c r="D41" s="158"/>
      <c r="E41" s="151" t="str">
        <f>P42</f>
        <v>I</v>
      </c>
      <c r="F41" s="151"/>
      <c r="G41" s="149"/>
      <c r="H41" s="44"/>
      <c r="I41" s="151">
        <f>I37</f>
        <v>322261.3461538461</v>
      </c>
      <c r="J41" s="151"/>
      <c r="K41" s="151"/>
      <c r="L41" s="44"/>
      <c r="M41" s="20"/>
      <c r="N41" s="20"/>
      <c r="O41" s="20"/>
      <c r="P41" s="20" t="s">
        <v>124</v>
      </c>
      <c r="Q41" s="20"/>
      <c r="R41" s="20"/>
      <c r="S41" s="20"/>
      <c r="T41" s="20"/>
      <c r="U41" s="22"/>
      <c r="W41" s="63"/>
      <c r="X41" s="63"/>
      <c r="AA41" s="63"/>
    </row>
    <row r="42" spans="1:26" ht="11.25" customHeight="1">
      <c r="A42" s="3">
        <v>40</v>
      </c>
      <c r="B42" s="19"/>
      <c r="C42" s="20"/>
      <c r="D42" s="20" t="s">
        <v>182</v>
      </c>
      <c r="E42" s="193">
        <f>H40*L40/I41</f>
        <v>569.7698028177083</v>
      </c>
      <c r="F42" s="193"/>
      <c r="G42" s="97" t="str">
        <f>G38</f>
        <v>kg/cm2</v>
      </c>
      <c r="H42" s="50" t="str">
        <f>IF(E42&lt;J42,"&lt;",IF(E42=J42,"=","&gt;"))</f>
        <v>&lt;</v>
      </c>
      <c r="I42" s="2" t="s">
        <v>127</v>
      </c>
      <c r="J42" s="193">
        <f>stress(W20,"plate",F17,I14,I13,F13,3)</f>
        <v>1167.0955022010046</v>
      </c>
      <c r="K42" s="132"/>
      <c r="L42" s="102" t="str">
        <f>IF(J42&gt;=E42,"OK  !","Not  Accepted  !")</f>
        <v>OK  !</v>
      </c>
      <c r="M42" s="20"/>
      <c r="N42" s="20"/>
      <c r="O42" s="20"/>
      <c r="P42" s="78" t="s">
        <v>183</v>
      </c>
      <c r="Q42" s="23" t="s">
        <v>182</v>
      </c>
      <c r="R42" s="200">
        <f>spih</f>
        <v>322261.3461538461</v>
      </c>
      <c r="S42" s="200"/>
      <c r="T42" s="20" t="s">
        <v>184</v>
      </c>
      <c r="U42" s="22"/>
      <c r="V42" s="63"/>
      <c r="W42" s="63"/>
      <c r="X42" s="63"/>
      <c r="Y42" s="63"/>
      <c r="Z42" s="63"/>
    </row>
    <row r="43" spans="1:26" ht="11.25" customHeight="1">
      <c r="A43" s="3">
        <v>41</v>
      </c>
      <c r="B43" s="110" t="str">
        <f>" "&amp;C19&amp;" "&amp;B17</f>
        <v> Vert.  Stiffener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2"/>
      <c r="V43" s="63"/>
      <c r="W43" s="63"/>
      <c r="X43" s="63"/>
      <c r="Y43" s="63"/>
      <c r="Z43" s="63"/>
    </row>
    <row r="44" spans="1:24" ht="11.25" customHeight="1">
      <c r="A44" s="3">
        <v>42</v>
      </c>
      <c r="B44" s="19"/>
      <c r="C44" s="96" t="s">
        <v>180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65"/>
      <c r="O44" s="20"/>
      <c r="P44" s="20"/>
      <c r="Q44" s="20"/>
      <c r="R44" s="20"/>
      <c r="S44" s="20"/>
      <c r="T44" s="20"/>
      <c r="U44" s="22"/>
      <c r="W44" s="63"/>
      <c r="X44" s="63"/>
    </row>
    <row r="45" spans="1:24" ht="11.25" customHeight="1">
      <c r="A45" s="3">
        <v>43</v>
      </c>
      <c r="B45" s="19"/>
      <c r="C45" s="157" t="s">
        <v>181</v>
      </c>
      <c r="D45" s="158" t="s">
        <v>97</v>
      </c>
      <c r="E45" s="170" t="str">
        <f>"P  "&amp;Q52&amp;"  "&amp;P19&amp;"^2"</f>
        <v>P  b  a^2</v>
      </c>
      <c r="F45" s="170"/>
      <c r="G45" s="149" t="s">
        <v>104</v>
      </c>
      <c r="H45" s="23">
        <f>F14</f>
        <v>0.1</v>
      </c>
      <c r="I45" s="23" t="s">
        <v>42</v>
      </c>
      <c r="J45" s="152">
        <f>R52</f>
        <v>750</v>
      </c>
      <c r="K45" s="152"/>
      <c r="L45" s="23" t="s">
        <v>42</v>
      </c>
      <c r="M45" s="152">
        <f>N19</f>
        <v>750</v>
      </c>
      <c r="N45" s="170"/>
      <c r="O45" s="20" t="s">
        <v>115</v>
      </c>
      <c r="P45" s="20"/>
      <c r="Q45" s="20"/>
      <c r="R45" s="20"/>
      <c r="S45" s="20"/>
      <c r="T45" s="20"/>
      <c r="U45" s="22"/>
      <c r="W45" s="63"/>
      <c r="X45" s="63"/>
    </row>
    <row r="46" spans="1:24" ht="11.25" customHeight="1">
      <c r="A46" s="3">
        <v>44</v>
      </c>
      <c r="B46" s="19"/>
      <c r="C46" s="157"/>
      <c r="D46" s="158"/>
      <c r="E46" s="180">
        <v>12</v>
      </c>
      <c r="F46" s="180"/>
      <c r="G46" s="149"/>
      <c r="H46" s="44"/>
      <c r="I46" s="44"/>
      <c r="J46" s="44"/>
      <c r="K46" s="64">
        <f>E46</f>
        <v>12</v>
      </c>
      <c r="L46" s="44"/>
      <c r="M46" s="44"/>
      <c r="N46" s="44"/>
      <c r="O46" s="44"/>
      <c r="P46" s="20"/>
      <c r="Q46" s="20"/>
      <c r="R46" s="20"/>
      <c r="S46" s="20"/>
      <c r="T46" s="20"/>
      <c r="U46" s="22"/>
      <c r="W46" s="63"/>
      <c r="X46" s="63"/>
    </row>
    <row r="47" spans="1:24" ht="11.25" customHeight="1">
      <c r="A47" s="3">
        <v>45</v>
      </c>
      <c r="B47" s="19"/>
      <c r="C47" s="20"/>
      <c r="D47" s="20" t="s">
        <v>182</v>
      </c>
      <c r="E47" s="188">
        <f>H45*J45*M45^2/K46</f>
        <v>3515625</v>
      </c>
      <c r="F47" s="188"/>
      <c r="G47" s="188"/>
      <c r="H47" s="20" t="str">
        <f>upsx(F13)&amp;"-mm3"</f>
        <v>kg/cm2-mm3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2"/>
      <c r="V47" s="63"/>
      <c r="W47" s="63"/>
      <c r="X47" s="63"/>
    </row>
    <row r="48" spans="1:24" ht="11.25" customHeight="1">
      <c r="A48" s="3">
        <v>46</v>
      </c>
      <c r="B48" s="19"/>
      <c r="C48" s="96" t="s">
        <v>195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2"/>
      <c r="W48" s="63"/>
      <c r="X48" s="63"/>
    </row>
    <row r="49" spans="1:22" ht="11.25" customHeight="1">
      <c r="A49" s="3">
        <v>47</v>
      </c>
      <c r="B49" s="19"/>
      <c r="C49" s="157" t="s">
        <v>192</v>
      </c>
      <c r="D49" s="158" t="s">
        <v>97</v>
      </c>
      <c r="E49" s="170" t="str">
        <f>"5 P "&amp;Q52&amp;" "&amp;P19&amp;"^4"</f>
        <v>5 P b a^4</v>
      </c>
      <c r="F49" s="170"/>
      <c r="G49" s="149" t="s">
        <v>104</v>
      </c>
      <c r="H49" s="106">
        <v>5</v>
      </c>
      <c r="I49" s="23" t="s">
        <v>42</v>
      </c>
      <c r="J49" s="104">
        <f>H45</f>
        <v>0.1</v>
      </c>
      <c r="K49" s="23" t="s">
        <v>42</v>
      </c>
      <c r="L49" s="197">
        <f>J45</f>
        <v>750</v>
      </c>
      <c r="M49" s="198"/>
      <c r="N49" s="23" t="s">
        <v>42</v>
      </c>
      <c r="O49" s="152">
        <f>M45</f>
        <v>750</v>
      </c>
      <c r="P49" s="170"/>
      <c r="Q49" s="20" t="s">
        <v>194</v>
      </c>
      <c r="R49" s="72"/>
      <c r="S49" s="65"/>
      <c r="T49" s="72"/>
      <c r="U49" s="22"/>
      <c r="V49" s="65"/>
    </row>
    <row r="50" spans="1:21" ht="11.25" customHeight="1">
      <c r="A50" s="3">
        <v>48</v>
      </c>
      <c r="B50" s="19"/>
      <c r="C50" s="157"/>
      <c r="D50" s="158"/>
      <c r="E50" s="137" t="s">
        <v>193</v>
      </c>
      <c r="F50" s="137"/>
      <c r="G50" s="149"/>
      <c r="H50" s="105">
        <v>384</v>
      </c>
      <c r="I50" s="64" t="s">
        <v>42</v>
      </c>
      <c r="J50" s="151">
        <f>moetema(mindex(F16,2),I14,I13,F13)</f>
        <v>1967751.1394940792</v>
      </c>
      <c r="K50" s="137"/>
      <c r="L50" s="137"/>
      <c r="M50" s="64" t="s">
        <v>42</v>
      </c>
      <c r="N50" s="151">
        <f>R59</f>
        <v>322261.3461538461</v>
      </c>
      <c r="O50" s="137"/>
      <c r="P50" s="137"/>
      <c r="Q50" s="44"/>
      <c r="R50" s="20"/>
      <c r="S50" s="65"/>
      <c r="T50" s="20"/>
      <c r="U50" s="22"/>
    </row>
    <row r="51" spans="1:24" ht="11.25" customHeight="1">
      <c r="A51" s="3">
        <v>49</v>
      </c>
      <c r="B51" s="19"/>
      <c r="C51" s="20"/>
      <c r="D51" s="20" t="s">
        <v>182</v>
      </c>
      <c r="E51" s="82">
        <f>H49*J49*L49*O49^4/(H50*J50*N50)</f>
        <v>0.48726667186620604</v>
      </c>
      <c r="F51" s="83" t="str">
        <f>IF(E51&lt;J51,"&lt;",IF(E51=J51,"=","&gt;"))</f>
        <v>&lt;</v>
      </c>
      <c r="G51" s="59" t="s">
        <v>99</v>
      </c>
      <c r="H51" s="59"/>
      <c r="I51" s="84" t="s">
        <v>100</v>
      </c>
      <c r="J51" s="82">
        <f>(I16-P13)/2</f>
        <v>4.5</v>
      </c>
      <c r="K51" s="59" t="s">
        <v>98</v>
      </c>
      <c r="L51" s="68" t="str">
        <f>IF(J51&gt;=E51,"OK  !","Not  Accepted  !")</f>
        <v>OK  !</v>
      </c>
      <c r="M51" s="20"/>
      <c r="N51" s="20"/>
      <c r="O51" s="20"/>
      <c r="P51" s="20"/>
      <c r="Q51" s="20"/>
      <c r="R51" s="20"/>
      <c r="S51" s="20"/>
      <c r="T51" s="20"/>
      <c r="U51" s="22"/>
      <c r="V51" s="63"/>
      <c r="W51" s="63"/>
      <c r="X51" s="63"/>
    </row>
    <row r="52" spans="1:21" ht="11.25" customHeight="1">
      <c r="A52" s="3">
        <v>50</v>
      </c>
      <c r="B52" s="19"/>
      <c r="C52" s="96" t="s">
        <v>189</v>
      </c>
      <c r="L52" s="20"/>
      <c r="M52" s="20"/>
      <c r="N52" s="20"/>
      <c r="O52" s="20"/>
      <c r="P52" s="20"/>
      <c r="Q52" s="78" t="str">
        <f>P18</f>
        <v>b</v>
      </c>
      <c r="R52" s="199">
        <f>P17</f>
        <v>750</v>
      </c>
      <c r="S52" s="199"/>
      <c r="T52" s="20"/>
      <c r="U52" s="22"/>
    </row>
    <row r="53" spans="1:24" ht="11.25" customHeight="1">
      <c r="A53" s="3">
        <v>51</v>
      </c>
      <c r="B53" s="19"/>
      <c r="C53" s="157" t="s">
        <v>185</v>
      </c>
      <c r="D53" s="158" t="s">
        <v>97</v>
      </c>
      <c r="E53" s="152" t="str">
        <f>C45&amp;"  "&amp;O54</f>
        <v>  Mc  C1</v>
      </c>
      <c r="F53" s="152"/>
      <c r="G53" s="149" t="s">
        <v>104</v>
      </c>
      <c r="H53" s="152">
        <f>E47</f>
        <v>3515625</v>
      </c>
      <c r="I53" s="152"/>
      <c r="J53" s="152"/>
      <c r="K53" s="23" t="s">
        <v>42</v>
      </c>
      <c r="L53" s="89">
        <f>O55</f>
        <v>5.171794871794872</v>
      </c>
      <c r="O53" s="20"/>
      <c r="P53" s="20"/>
      <c r="Q53" s="20"/>
      <c r="R53" s="20"/>
      <c r="S53" s="20"/>
      <c r="T53" s="20"/>
      <c r="U53" s="22"/>
      <c r="W53" s="63"/>
      <c r="X53" s="63"/>
    </row>
    <row r="54" spans="1:24" ht="11.25" customHeight="1">
      <c r="A54" s="3">
        <v>52</v>
      </c>
      <c r="B54" s="19"/>
      <c r="C54" s="157"/>
      <c r="D54" s="158"/>
      <c r="E54" s="151" t="str">
        <f>P59</f>
        <v>I</v>
      </c>
      <c r="F54" s="151"/>
      <c r="G54" s="149"/>
      <c r="H54" s="44"/>
      <c r="I54" s="151">
        <f>R59</f>
        <v>322261.3461538461</v>
      </c>
      <c r="J54" s="151"/>
      <c r="K54" s="151"/>
      <c r="L54" s="44"/>
      <c r="O54" s="78" t="s">
        <v>186</v>
      </c>
      <c r="P54" s="20"/>
      <c r="Q54" s="20"/>
      <c r="R54" s="20"/>
      <c r="S54" s="20"/>
      <c r="T54" s="101">
        <f>I16-P13</f>
        <v>9</v>
      </c>
      <c r="U54" s="22"/>
      <c r="W54" s="63"/>
      <c r="X54" s="63"/>
    </row>
    <row r="55" spans="1:21" ht="11.25" customHeight="1">
      <c r="A55" s="3">
        <v>53</v>
      </c>
      <c r="B55" s="19"/>
      <c r="C55" s="20"/>
      <c r="D55" s="20" t="s">
        <v>182</v>
      </c>
      <c r="E55" s="193">
        <f>H53*L53/I54</f>
        <v>56.42032953425881</v>
      </c>
      <c r="F55" s="193"/>
      <c r="G55" s="97" t="str">
        <f>upsx(F13)</f>
        <v>kg/cm2</v>
      </c>
      <c r="H55" s="50" t="str">
        <f>IF(E55&lt;J55,"&lt;",IF(E55=J55,"=","&gt;"))</f>
        <v>&lt;</v>
      </c>
      <c r="I55" s="2" t="s">
        <v>127</v>
      </c>
      <c r="J55" s="193">
        <f>stress(W17,Y17,F16,I14,I13,F13,3)</f>
        <v>1202.2489811829626</v>
      </c>
      <c r="K55" s="132"/>
      <c r="L55" s="102" t="str">
        <f>IF(J55&gt;=E55,"OK  !","Not  Accepted  !")</f>
        <v>OK  !</v>
      </c>
      <c r="M55" s="20"/>
      <c r="N55" s="20"/>
      <c r="O55" s="23">
        <f>spc1v</f>
        <v>5.171794871794872</v>
      </c>
      <c r="P55" s="20"/>
      <c r="Q55" s="20"/>
      <c r="R55" s="59"/>
      <c r="S55" s="59"/>
      <c r="T55" s="59"/>
      <c r="U55" s="22"/>
    </row>
    <row r="56" spans="1:24" ht="11.25" customHeight="1">
      <c r="A56" s="3">
        <v>54</v>
      </c>
      <c r="B56" s="19"/>
      <c r="C56" s="96" t="s">
        <v>190</v>
      </c>
      <c r="M56" s="20"/>
      <c r="N56" s="20"/>
      <c r="O56" s="78" t="s">
        <v>187</v>
      </c>
      <c r="P56" s="20"/>
      <c r="Q56" s="20"/>
      <c r="R56" s="59"/>
      <c r="S56" s="100">
        <f>AC23</f>
        <v>50</v>
      </c>
      <c r="T56" s="20"/>
      <c r="U56" s="22"/>
      <c r="W56" s="65"/>
      <c r="X56" s="65"/>
    </row>
    <row r="57" spans="1:21" ht="11.25" customHeight="1">
      <c r="A57" s="3">
        <v>55</v>
      </c>
      <c r="B57" s="19"/>
      <c r="C57" s="157" t="s">
        <v>188</v>
      </c>
      <c r="D57" s="158" t="s">
        <v>97</v>
      </c>
      <c r="E57" s="152" t="str">
        <f>C45&amp;"  "&amp;O56</f>
        <v>  Mc  C2</v>
      </c>
      <c r="F57" s="152"/>
      <c r="G57" s="149" t="s">
        <v>104</v>
      </c>
      <c r="H57" s="152">
        <f>H53</f>
        <v>3515625</v>
      </c>
      <c r="I57" s="152"/>
      <c r="J57" s="152"/>
      <c r="K57" s="23" t="s">
        <v>42</v>
      </c>
      <c r="L57" s="75">
        <f>O57</f>
        <v>52.228205128205126</v>
      </c>
      <c r="M57" s="20"/>
      <c r="N57" s="20"/>
      <c r="O57" s="23">
        <f>spc2v</f>
        <v>52.228205128205126</v>
      </c>
      <c r="P57" s="20"/>
      <c r="Q57" s="20"/>
      <c r="R57" s="20"/>
      <c r="S57" s="20"/>
      <c r="T57" s="20"/>
      <c r="U57" s="22"/>
    </row>
    <row r="58" spans="1:24" ht="11.25" customHeight="1">
      <c r="A58" s="3">
        <v>56</v>
      </c>
      <c r="B58" s="19"/>
      <c r="C58" s="157"/>
      <c r="D58" s="158"/>
      <c r="E58" s="151" t="str">
        <f>P59</f>
        <v>I</v>
      </c>
      <c r="F58" s="151"/>
      <c r="G58" s="149"/>
      <c r="H58" s="44"/>
      <c r="I58" s="151">
        <f>I54</f>
        <v>322261.3461538461</v>
      </c>
      <c r="J58" s="151"/>
      <c r="K58" s="151"/>
      <c r="L58" s="44"/>
      <c r="M58" s="20"/>
      <c r="N58" s="20"/>
      <c r="O58" s="20"/>
      <c r="P58" s="20" t="s">
        <v>124</v>
      </c>
      <c r="Q58" s="20"/>
      <c r="R58" s="20"/>
      <c r="S58" s="20"/>
      <c r="T58" s="20"/>
      <c r="U58" s="22"/>
      <c r="W58" s="63"/>
      <c r="X58" s="63"/>
    </row>
    <row r="59" spans="1:21" ht="11.25" customHeight="1">
      <c r="A59" s="3">
        <v>57</v>
      </c>
      <c r="B59" s="19"/>
      <c r="C59" s="20"/>
      <c r="D59" s="20" t="s">
        <v>182</v>
      </c>
      <c r="E59" s="193">
        <f>H57*L57/I58</f>
        <v>569.7698028177083</v>
      </c>
      <c r="F59" s="193"/>
      <c r="G59" s="97" t="str">
        <f>G55</f>
        <v>kg/cm2</v>
      </c>
      <c r="H59" s="50" t="str">
        <f>IF(E59&lt;J59,"&lt;",IF(E59=J59,"=","&gt;"))</f>
        <v>&lt;</v>
      </c>
      <c r="I59" s="2" t="s">
        <v>127</v>
      </c>
      <c r="J59" s="193">
        <f>J42</f>
        <v>1167.0955022010046</v>
      </c>
      <c r="K59" s="132"/>
      <c r="L59" s="102" t="str">
        <f>IF(J59&gt;=E59,"OK  !","Not  Accepted  !")</f>
        <v>OK  !</v>
      </c>
      <c r="M59" s="20"/>
      <c r="N59" s="20"/>
      <c r="O59" s="20"/>
      <c r="P59" s="78" t="s">
        <v>183</v>
      </c>
      <c r="Q59" s="23" t="s">
        <v>182</v>
      </c>
      <c r="R59" s="200">
        <f>spiv</f>
        <v>322261.3461538461</v>
      </c>
      <c r="S59" s="200"/>
      <c r="T59" s="20" t="s">
        <v>184</v>
      </c>
      <c r="U59" s="25"/>
    </row>
    <row r="60" spans="1:21" ht="11.25" customHeight="1">
      <c r="A60" s="3">
        <v>58</v>
      </c>
      <c r="B60" s="46" t="s">
        <v>339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</row>
    <row r="61" spans="1:21" ht="11.25" customHeight="1">
      <c r="A61" s="3">
        <v>59</v>
      </c>
      <c r="B61" s="47" t="s">
        <v>307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</row>
    <row r="62" spans="1:21" ht="11.25" customHeight="1">
      <c r="A62" s="23">
        <v>60</v>
      </c>
      <c r="B62" s="48" t="s">
        <v>308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26"/>
    </row>
    <row r="63" spans="1:21" ht="11.25" customHeight="1">
      <c r="A63" s="3">
        <v>61</v>
      </c>
      <c r="B63" s="49" t="s">
        <v>309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4"/>
    </row>
    <row r="64" spans="1:21" ht="11.25" customHeight="1">
      <c r="A64" s="3"/>
      <c r="B64" s="20" t="str">
        <f>cosymbol</f>
        <v> NTES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42" t="str">
        <f>coname</f>
        <v>Narai Thermal Engineering Services </v>
      </c>
    </row>
    <row r="65" ht="11.25" customHeight="1">
      <c r="A65" s="3"/>
    </row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</sheetData>
  <mergeCells count="107">
    <mergeCell ref="J28:K28"/>
    <mergeCell ref="J45:K45"/>
    <mergeCell ref="E59:F59"/>
    <mergeCell ref="J59:K59"/>
    <mergeCell ref="R59:S59"/>
    <mergeCell ref="E55:F55"/>
    <mergeCell ref="J55:K55"/>
    <mergeCell ref="H57:J57"/>
    <mergeCell ref="I58:K58"/>
    <mergeCell ref="C57:C58"/>
    <mergeCell ref="D57:D58"/>
    <mergeCell ref="E57:F57"/>
    <mergeCell ref="G57:G58"/>
    <mergeCell ref="E58:F58"/>
    <mergeCell ref="R52:S52"/>
    <mergeCell ref="E53:F53"/>
    <mergeCell ref="H53:J53"/>
    <mergeCell ref="E54:F54"/>
    <mergeCell ref="I54:K54"/>
    <mergeCell ref="E49:F49"/>
    <mergeCell ref="G49:G50"/>
    <mergeCell ref="L49:M49"/>
    <mergeCell ref="O49:P49"/>
    <mergeCell ref="E50:F50"/>
    <mergeCell ref="J50:L50"/>
    <mergeCell ref="N50:P50"/>
    <mergeCell ref="E42:F42"/>
    <mergeCell ref="J42:K42"/>
    <mergeCell ref="R42:S42"/>
    <mergeCell ref="E45:F45"/>
    <mergeCell ref="M45:N45"/>
    <mergeCell ref="J38:K38"/>
    <mergeCell ref="C40:C41"/>
    <mergeCell ref="D40:D41"/>
    <mergeCell ref="E40:F40"/>
    <mergeCell ref="G40:G41"/>
    <mergeCell ref="H40:J40"/>
    <mergeCell ref="E41:F41"/>
    <mergeCell ref="I41:K41"/>
    <mergeCell ref="E38:F38"/>
    <mergeCell ref="R35:S35"/>
    <mergeCell ref="C36:C37"/>
    <mergeCell ref="D36:D37"/>
    <mergeCell ref="E36:F36"/>
    <mergeCell ref="G36:G37"/>
    <mergeCell ref="H36:J36"/>
    <mergeCell ref="E37:F37"/>
    <mergeCell ref="I37:K37"/>
    <mergeCell ref="O32:P32"/>
    <mergeCell ref="E33:F33"/>
    <mergeCell ref="J33:L33"/>
    <mergeCell ref="N33:P33"/>
    <mergeCell ref="L32:M32"/>
    <mergeCell ref="C32:C33"/>
    <mergeCell ref="D32:D33"/>
    <mergeCell ref="E32:F32"/>
    <mergeCell ref="G32:G33"/>
    <mergeCell ref="Z19:AA19"/>
    <mergeCell ref="W21:W22"/>
    <mergeCell ref="B25:U25"/>
    <mergeCell ref="T18:T21"/>
    <mergeCell ref="P23:Q23"/>
    <mergeCell ref="L19:M19"/>
    <mergeCell ref="N21:O22"/>
    <mergeCell ref="N19:O20"/>
    <mergeCell ref="P19:P20"/>
    <mergeCell ref="P18:Q18"/>
    <mergeCell ref="C28:C29"/>
    <mergeCell ref="D28:D29"/>
    <mergeCell ref="G28:G29"/>
    <mergeCell ref="E28:F28"/>
    <mergeCell ref="E29:F29"/>
    <mergeCell ref="P12:R12"/>
    <mergeCell ref="P13:R13"/>
    <mergeCell ref="F14:H14"/>
    <mergeCell ref="I14:K14"/>
    <mergeCell ref="F13:H13"/>
    <mergeCell ref="W23:W24"/>
    <mergeCell ref="E30:G30"/>
    <mergeCell ref="B1:U2"/>
    <mergeCell ref="L15:U15"/>
    <mergeCell ref="B15:K15"/>
    <mergeCell ref="R7:U7"/>
    <mergeCell ref="R4:U4"/>
    <mergeCell ref="R5:U5"/>
    <mergeCell ref="S9:T9"/>
    <mergeCell ref="L18:M18"/>
    <mergeCell ref="S8:T8"/>
    <mergeCell ref="B10:U10"/>
    <mergeCell ref="R3:U3"/>
    <mergeCell ref="M28:N28"/>
    <mergeCell ref="P11:R11"/>
    <mergeCell ref="F12:H12"/>
    <mergeCell ref="R17:S17"/>
    <mergeCell ref="P17:Q17"/>
    <mergeCell ref="I12:K12"/>
    <mergeCell ref="I13:K13"/>
    <mergeCell ref="C53:C54"/>
    <mergeCell ref="D53:D54"/>
    <mergeCell ref="G53:G54"/>
    <mergeCell ref="C45:C46"/>
    <mergeCell ref="D45:D46"/>
    <mergeCell ref="G45:G46"/>
    <mergeCell ref="E46:F46"/>
    <mergeCell ref="E47:G47"/>
    <mergeCell ref="C49:C50"/>
    <mergeCell ref="D49:D50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scale="99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F65"/>
  <sheetViews>
    <sheetView zoomScaleSheetLayoutView="100" workbookViewId="0" topLeftCell="A1">
      <selection activeCell="Q9" sqref="Q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202" t="s">
        <v>197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/>
    </row>
    <row r="2" spans="2:21" ht="11.25" customHeight="1"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11.25" customHeight="1">
      <c r="A3" s="3">
        <v>1</v>
      </c>
      <c r="B3" s="4" t="s">
        <v>198</v>
      </c>
      <c r="C3" s="5"/>
      <c r="D3" s="5"/>
      <c r="E3" s="13" t="str">
        <f>project</f>
        <v>P</v>
      </c>
      <c r="F3" s="5"/>
      <c r="G3" s="5"/>
      <c r="H3" s="5"/>
      <c r="I3" s="5"/>
      <c r="J3" s="5"/>
      <c r="K3" s="5"/>
      <c r="L3" s="5"/>
      <c r="M3" s="5"/>
      <c r="N3" s="5"/>
      <c r="O3" s="5"/>
      <c r="P3" s="15" t="str">
        <f>jobnoid</f>
        <v>Job No.</v>
      </c>
      <c r="Q3" s="15"/>
      <c r="R3" s="186" t="str">
        <f>jobno</f>
        <v>J</v>
      </c>
      <c r="S3" s="186"/>
      <c r="T3" s="186"/>
      <c r="U3" s="187"/>
    </row>
    <row r="4" spans="1:21" ht="11.25" customHeight="1">
      <c r="A4" s="3">
        <v>2</v>
      </c>
      <c r="B4" s="7" t="s">
        <v>200</v>
      </c>
      <c r="C4" s="6"/>
      <c r="D4" s="6"/>
      <c r="E4" s="30" t="str">
        <f>client</f>
        <v>A</v>
      </c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199</v>
      </c>
      <c r="Q4" s="6"/>
      <c r="R4" s="165" t="s">
        <v>344</v>
      </c>
      <c r="S4" s="165"/>
      <c r="T4" s="165"/>
      <c r="U4" s="174"/>
    </row>
    <row r="5" spans="1:21" ht="11.25" customHeight="1">
      <c r="A5" s="3">
        <v>3</v>
      </c>
      <c r="B5" s="7" t="s">
        <v>203</v>
      </c>
      <c r="C5" s="6"/>
      <c r="D5" s="6"/>
      <c r="E5" s="30" t="str">
        <f>contractor</f>
        <v>B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201</v>
      </c>
      <c r="Q5" s="6"/>
      <c r="R5" s="165" t="s">
        <v>202</v>
      </c>
      <c r="S5" s="165"/>
      <c r="T5" s="165"/>
      <c r="U5" s="174"/>
    </row>
    <row r="6" spans="1:21" ht="11.25" customHeight="1">
      <c r="A6" s="3">
        <v>4</v>
      </c>
      <c r="B6" s="18"/>
      <c r="C6" s="9"/>
      <c r="D6" s="9"/>
      <c r="E6" s="51"/>
      <c r="F6" s="9"/>
      <c r="G6" s="9"/>
      <c r="H6" s="9"/>
      <c r="I6" s="9"/>
      <c r="J6" s="9"/>
      <c r="K6" s="9"/>
      <c r="L6" s="9"/>
      <c r="M6" s="9"/>
      <c r="N6" s="9"/>
      <c r="O6" s="9"/>
      <c r="P6" s="11" t="s">
        <v>204</v>
      </c>
      <c r="Q6" s="11"/>
      <c r="R6" s="113">
        <v>0</v>
      </c>
      <c r="S6" s="128"/>
      <c r="T6" s="128"/>
      <c r="U6" s="129"/>
    </row>
    <row r="7" spans="1:21" ht="11.25" customHeight="1">
      <c r="A7" s="3">
        <v>5</v>
      </c>
      <c r="B7" s="16" t="s">
        <v>207</v>
      </c>
      <c r="C7" s="15"/>
      <c r="D7" s="15"/>
      <c r="E7" s="53" t="str">
        <f>service</f>
        <v>Steam Surface Condenser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 t="s">
        <v>208</v>
      </c>
      <c r="Q7" s="15"/>
      <c r="R7" s="186" t="str">
        <f>itemno</f>
        <v>SSC - 001</v>
      </c>
      <c r="S7" s="186"/>
      <c r="T7" s="186"/>
      <c r="U7" s="187"/>
    </row>
    <row r="8" spans="1:21" ht="11.25" customHeight="1">
      <c r="A8" s="3">
        <v>6</v>
      </c>
      <c r="B8" s="7"/>
      <c r="C8" s="6"/>
      <c r="D8" s="6"/>
      <c r="E8" s="3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"/>
    </row>
    <row r="9" spans="1:21" ht="11.25" customHeight="1">
      <c r="A9" s="3">
        <v>7</v>
      </c>
      <c r="B9" s="1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 t="s">
        <v>205</v>
      </c>
      <c r="Q9" s="11"/>
      <c r="R9" s="52">
        <v>1</v>
      </c>
      <c r="S9" s="160" t="s">
        <v>206</v>
      </c>
      <c r="T9" s="160"/>
      <c r="U9" s="56">
        <v>1</v>
      </c>
    </row>
    <row r="10" spans="1:21" ht="11.25" customHeight="1">
      <c r="A10" s="3">
        <v>8</v>
      </c>
      <c r="B10" s="140" t="s">
        <v>209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2"/>
    </row>
    <row r="11" spans="1:21" ht="11.25" customHeight="1">
      <c r="A11" s="3">
        <v>9</v>
      </c>
      <c r="B11" s="4" t="s">
        <v>210</v>
      </c>
      <c r="C11" s="5"/>
      <c r="D11" s="5"/>
      <c r="E11" s="5"/>
      <c r="F11" s="98"/>
      <c r="G11" s="5"/>
      <c r="H11" s="212">
        <f>shellt</f>
        <v>9</v>
      </c>
      <c r="I11" s="212"/>
      <c r="J11" s="5" t="s">
        <v>211</v>
      </c>
      <c r="K11" s="98"/>
      <c r="L11" s="16"/>
      <c r="M11" s="5"/>
      <c r="N11" s="5"/>
      <c r="O11" s="5"/>
      <c r="P11" s="5"/>
      <c r="Q11" s="5"/>
      <c r="R11" s="5"/>
      <c r="S11" s="5"/>
      <c r="T11" s="5"/>
      <c r="U11" s="54"/>
    </row>
    <row r="12" spans="1:21" ht="11.25" customHeight="1">
      <c r="A12" s="3">
        <v>10</v>
      </c>
      <c r="B12" s="7" t="s">
        <v>212</v>
      </c>
      <c r="C12" s="6"/>
      <c r="D12" s="6"/>
      <c r="E12" s="6"/>
      <c r="F12" s="39"/>
      <c r="G12" s="6"/>
      <c r="H12" s="213">
        <f>spanv</f>
        <v>750</v>
      </c>
      <c r="I12" s="213"/>
      <c r="J12" s="6" t="s">
        <v>213</v>
      </c>
      <c r="K12" s="39"/>
      <c r="L12" s="7"/>
      <c r="M12" s="6"/>
      <c r="N12" s="6"/>
      <c r="O12" s="6"/>
      <c r="P12" s="6"/>
      <c r="Q12" s="6"/>
      <c r="R12" s="6"/>
      <c r="S12" s="6"/>
      <c r="T12" s="6"/>
      <c r="U12" s="1"/>
    </row>
    <row r="13" spans="1:32" ht="11.25" customHeight="1">
      <c r="A13" s="3">
        <v>11</v>
      </c>
      <c r="B13" s="7" t="s">
        <v>214</v>
      </c>
      <c r="C13" s="6"/>
      <c r="D13" s="6"/>
      <c r="E13" s="6"/>
      <c r="F13" s="6"/>
      <c r="G13" s="6"/>
      <c r="H13" s="6"/>
      <c r="I13" s="99" t="str">
        <f>IF(X15="Flat Bar","FB "&amp;AC15&amp;" x "&amp;AE15,X16)</f>
        <v>FB 50 x 6</v>
      </c>
      <c r="J13" s="6"/>
      <c r="K13" s="6"/>
      <c r="L13" s="10" t="s">
        <v>215</v>
      </c>
      <c r="M13" s="6"/>
      <c r="N13" s="6"/>
      <c r="O13" s="6"/>
      <c r="P13" s="130">
        <f>ca</f>
        <v>1.6</v>
      </c>
      <c r="Q13" s="130"/>
      <c r="R13" s="130"/>
      <c r="S13" s="39" t="s">
        <v>213</v>
      </c>
      <c r="T13" s="6"/>
      <c r="U13" s="1"/>
      <c r="W13" s="37" t="str">
        <f>B13</f>
        <v> Stiffener</v>
      </c>
      <c r="Z13" s="138" t="s">
        <v>216</v>
      </c>
      <c r="AA13" s="138"/>
      <c r="AC13" s="38" t="s">
        <v>217</v>
      </c>
      <c r="AD13" s="38" t="s">
        <v>218</v>
      </c>
      <c r="AE13" s="38" t="s">
        <v>211</v>
      </c>
      <c r="AF13" s="38" t="s">
        <v>219</v>
      </c>
    </row>
    <row r="14" spans="1:27" ht="11.25" customHeight="1">
      <c r="A14" s="3">
        <v>12</v>
      </c>
      <c r="B14" s="140" t="s">
        <v>220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W14" s="2" t="str">
        <f>stfnmcode</f>
        <v>ASTM</v>
      </c>
      <c r="Z14" s="3" t="s">
        <v>221</v>
      </c>
      <c r="AA14" s="3" t="s">
        <v>211</v>
      </c>
    </row>
    <row r="15" spans="1:32" ht="11.25" customHeight="1">
      <c r="A15" s="3">
        <v>13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2"/>
      <c r="W15" s="139" t="s">
        <v>108</v>
      </c>
      <c r="X15" s="2" t="str">
        <f>stfnhkind</f>
        <v>Flat Bar</v>
      </c>
      <c r="Z15" s="36">
        <f>fbhh</f>
        <v>50</v>
      </c>
      <c r="AA15" s="36">
        <f>fbht</f>
        <v>6</v>
      </c>
      <c r="AB15" s="2" t="s">
        <v>102</v>
      </c>
      <c r="AC15" s="36">
        <f>IF(X15="Flat Bar",Z15,AC16)</f>
        <v>50</v>
      </c>
      <c r="AD15" s="36" t="str">
        <f>IF(X15="Flat Bar","***",AD16)</f>
        <v>***</v>
      </c>
      <c r="AE15" s="36">
        <f>IF(X15="Flat Bar",AA15,AE16)</f>
        <v>6</v>
      </c>
      <c r="AF15" s="36" t="str">
        <f>IF(X15="Flat Bar","***",IF(X15="L Angle","***",AF16))</f>
        <v>***</v>
      </c>
    </row>
    <row r="16" spans="1:32" ht="11.25" customHeight="1">
      <c r="A16" s="3">
        <v>14</v>
      </c>
      <c r="B16" s="19"/>
      <c r="C16" s="20"/>
      <c r="D16" s="20"/>
      <c r="E16" s="20"/>
      <c r="F16" s="20"/>
      <c r="G16" s="20"/>
      <c r="H16" s="20"/>
      <c r="I16" s="20"/>
      <c r="J16" s="60" t="s">
        <v>222</v>
      </c>
      <c r="K16" s="152">
        <f>H12</f>
        <v>750</v>
      </c>
      <c r="L16" s="152"/>
      <c r="M16" s="20"/>
      <c r="N16" s="20"/>
      <c r="O16" s="20"/>
      <c r="P16" s="20"/>
      <c r="Q16" s="20"/>
      <c r="R16" s="20"/>
      <c r="S16" s="20"/>
      <c r="T16" s="20"/>
      <c r="U16" s="22"/>
      <c r="W16" s="139"/>
      <c r="X16" s="2" t="str">
        <f>stfnhsize</f>
        <v>L 50 x 50 x 6</v>
      </c>
      <c r="AB16" s="2" t="s">
        <v>103</v>
      </c>
      <c r="AC16" s="3" t="str">
        <f>IF(X15="Flat Bar","***",shapesteel(X15,X16,2))</f>
        <v>***</v>
      </c>
      <c r="AD16" s="3" t="str">
        <f>IF(X15="Flat Bar","***",shapesteel(X15,X16,3))</f>
        <v>***</v>
      </c>
      <c r="AE16" s="3" t="str">
        <f>IF(X15="Flat Bar","***",shapesteel(X15,X16,4))</f>
        <v>***</v>
      </c>
      <c r="AF16" s="3" t="str">
        <f>IF(X15="Flat Bar","***",IF(X15="L Angle","***",shapesteel(X15,X16,5)))</f>
        <v>***</v>
      </c>
    </row>
    <row r="17" spans="1:32" ht="11.25" customHeight="1">
      <c r="A17" s="3">
        <v>15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2"/>
      <c r="Z17" s="36"/>
      <c r="AA17" s="36"/>
      <c r="AC17" s="36"/>
      <c r="AD17" s="36"/>
      <c r="AE17" s="36"/>
      <c r="AF17" s="36"/>
    </row>
    <row r="18" spans="1:32" ht="11.25" customHeight="1">
      <c r="A18" s="3">
        <v>16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4" t="s">
        <v>223</v>
      </c>
      <c r="Q18" s="150">
        <f>H11-P13</f>
        <v>7.4</v>
      </c>
      <c r="R18" s="20"/>
      <c r="S18" s="20"/>
      <c r="T18" s="20"/>
      <c r="U18" s="22"/>
      <c r="AC18" s="3"/>
      <c r="AD18" s="3"/>
      <c r="AE18" s="3"/>
      <c r="AF18" s="3"/>
    </row>
    <row r="19" spans="1:21" ht="11.25" customHeight="1">
      <c r="A19" s="3">
        <v>17</v>
      </c>
      <c r="B19" s="19"/>
      <c r="C19" s="20"/>
      <c r="D19" s="20"/>
      <c r="E19" s="96" t="s">
        <v>224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4"/>
      <c r="Q19" s="150"/>
      <c r="R19" s="20"/>
      <c r="S19" s="20"/>
      <c r="T19" s="20"/>
      <c r="U19" s="22"/>
    </row>
    <row r="20" spans="1:21" ht="11.25" customHeight="1">
      <c r="A20" s="3">
        <v>18</v>
      </c>
      <c r="B20" s="19"/>
      <c r="C20" s="20"/>
      <c r="D20" s="96" t="s">
        <v>225</v>
      </c>
      <c r="E20" s="112">
        <f>R34</f>
        <v>5.171794871794872</v>
      </c>
      <c r="F20" s="20"/>
      <c r="G20" s="78" t="s">
        <v>226</v>
      </c>
      <c r="H20" s="23" t="s">
        <v>227</v>
      </c>
      <c r="I20" s="23">
        <f>E20-Q18/2</f>
        <v>1.471794871794872</v>
      </c>
      <c r="J20" s="78" t="s">
        <v>228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2"/>
    </row>
    <row r="21" spans="1:21" ht="11.25" customHeight="1">
      <c r="A21" s="3">
        <v>19</v>
      </c>
      <c r="B21" s="19"/>
      <c r="C21" s="20"/>
      <c r="D21" s="23">
        <f>Q18+Q22</f>
        <v>57.4</v>
      </c>
      <c r="E21" s="20"/>
      <c r="F21" s="20"/>
      <c r="G21" s="23">
        <f>J21+Q18/2</f>
        <v>28.7</v>
      </c>
      <c r="H21" s="23" t="s">
        <v>229</v>
      </c>
      <c r="I21" s="23">
        <f>G21-I20</f>
        <v>27.228205128205126</v>
      </c>
      <c r="J21" s="89">
        <f>R32</f>
        <v>25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2"/>
    </row>
    <row r="22" spans="1:21" ht="11.25" customHeight="1">
      <c r="A22" s="3">
        <v>20</v>
      </c>
      <c r="B22" s="19"/>
      <c r="C22" s="20"/>
      <c r="D22" s="20"/>
      <c r="E22" s="96" t="s">
        <v>230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60" t="s">
        <v>231</v>
      </c>
      <c r="Q22" s="23">
        <f>AC15</f>
        <v>50</v>
      </c>
      <c r="R22" s="20"/>
      <c r="S22" s="20"/>
      <c r="T22" s="20"/>
      <c r="U22" s="22"/>
    </row>
    <row r="23" spans="1:21" ht="11.25" customHeight="1">
      <c r="A23" s="3">
        <v>21</v>
      </c>
      <c r="B23" s="19"/>
      <c r="C23" s="20"/>
      <c r="D23" s="20"/>
      <c r="E23" s="112">
        <f>D21-E20</f>
        <v>52.228205128205126</v>
      </c>
      <c r="F23" s="20"/>
      <c r="G23" s="20"/>
      <c r="H23" s="20"/>
      <c r="I23" s="20"/>
      <c r="J23" s="20"/>
      <c r="K23" s="20"/>
      <c r="L23" s="20"/>
      <c r="M23" s="23" t="str">
        <f>IF(X15="Flat Bar","***",IF(X15="L Angle",AE15,AF15))</f>
        <v>***</v>
      </c>
      <c r="N23" s="23">
        <f>IF(X15="Flat Bar","",IF(X15="L Angle","",""" t2 """))</f>
      </c>
      <c r="O23" s="20"/>
      <c r="P23" s="20"/>
      <c r="Q23" s="20"/>
      <c r="R23" s="20"/>
      <c r="S23" s="20"/>
      <c r="T23" s="20"/>
      <c r="U23" s="22"/>
    </row>
    <row r="24" spans="1:21" ht="11.25" customHeight="1">
      <c r="A24" s="3">
        <v>22</v>
      </c>
      <c r="B24" s="19"/>
      <c r="C24" s="20"/>
      <c r="D24" s="20"/>
      <c r="E24" s="20"/>
      <c r="F24" s="20"/>
      <c r="G24" s="20"/>
      <c r="H24" s="20"/>
      <c r="I24" s="60" t="s">
        <v>232</v>
      </c>
      <c r="J24" s="20">
        <f>AE15</f>
        <v>6</v>
      </c>
      <c r="K24" s="20"/>
      <c r="L24" s="78">
        <f>IF(X15="Flat Bar","",IF(X15="L Angle",""" B """,""" B """))</f>
      </c>
      <c r="M24" s="20"/>
      <c r="N24" s="20"/>
      <c r="O24" s="20"/>
      <c r="P24" s="20"/>
      <c r="Q24" s="20"/>
      <c r="R24" s="20"/>
      <c r="S24" s="20"/>
      <c r="T24" s="20"/>
      <c r="U24" s="22"/>
    </row>
    <row r="25" spans="1:21" ht="11.25" customHeight="1">
      <c r="A25" s="3">
        <v>23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3" t="str">
        <f>IF(X15="Flat Bar","***",AD15)</f>
        <v>***</v>
      </c>
      <c r="M25" s="20"/>
      <c r="N25" s="20"/>
      <c r="O25" s="20"/>
      <c r="P25" s="20"/>
      <c r="Q25" s="20"/>
      <c r="R25" s="20"/>
      <c r="S25" s="20"/>
      <c r="T25" s="20"/>
      <c r="U25" s="22"/>
    </row>
    <row r="26" spans="1:21" ht="11.25" customHeight="1">
      <c r="A26" s="3">
        <v>24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2"/>
    </row>
    <row r="27" spans="1:21" ht="11.25" customHeight="1">
      <c r="A27" s="3">
        <v>25</v>
      </c>
      <c r="B27" s="7"/>
      <c r="C27" s="30" t="s">
        <v>233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"/>
    </row>
    <row r="28" spans="1:30" ht="11.25" customHeight="1">
      <c r="A28" s="3">
        <v>26</v>
      </c>
      <c r="B28" s="7"/>
      <c r="C28" s="30" t="s">
        <v>234</v>
      </c>
      <c r="D28" s="6" t="s">
        <v>235</v>
      </c>
      <c r="E28" s="6" t="s">
        <v>236</v>
      </c>
      <c r="F28" s="6"/>
      <c r="G28" s="8" t="s">
        <v>235</v>
      </c>
      <c r="H28" s="208">
        <f>K16</f>
        <v>750</v>
      </c>
      <c r="I28" s="208"/>
      <c r="J28" s="8" t="s">
        <v>237</v>
      </c>
      <c r="K28" s="8">
        <f>Q18</f>
        <v>7.4</v>
      </c>
      <c r="L28" s="6"/>
      <c r="M28" s="6"/>
      <c r="N28" s="6"/>
      <c r="O28" s="6"/>
      <c r="P28" s="6"/>
      <c r="Q28" s="8" t="s">
        <v>235</v>
      </c>
      <c r="R28" s="201">
        <f>H28*K28</f>
        <v>5550</v>
      </c>
      <c r="S28" s="201"/>
      <c r="T28" s="6" t="s">
        <v>238</v>
      </c>
      <c r="U28" s="1"/>
      <c r="Y28" s="37" t="str">
        <f>C29</f>
        <v>  As</v>
      </c>
      <c r="AD28" s="37" t="str">
        <f>C32</f>
        <v>  y</v>
      </c>
    </row>
    <row r="29" spans="1:30" ht="11.25" customHeight="1">
      <c r="A29" s="3">
        <v>27</v>
      </c>
      <c r="B29" s="7"/>
      <c r="C29" s="30" t="s">
        <v>239</v>
      </c>
      <c r="D29" s="6" t="s">
        <v>235</v>
      </c>
      <c r="E29" s="6" t="str">
        <f>IF(X15=W29,Y29,IF(X15=W30,Y30,IF(X15=W31,Y31,IF(X15=W32,Y32,IF(X15=W33,Y33,"???")))))</f>
        <v>H  x  t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" t="s">
        <v>235</v>
      </c>
      <c r="R29" s="201">
        <f>IF(X15=W29,Q22*J24,IF(X15=W30,(Q22+L25-J24)*J24,IF(X15=W31,Q22*J24+(L25-J24)*M23,IF(X15=W32,(Q22-2*M23)*J24+2*L25*M23,IF(X15=W33,(Q22-2*M23)*J24+2*L25*M23,"???")))))</f>
        <v>300</v>
      </c>
      <c r="S29" s="201"/>
      <c r="T29" s="6" t="s">
        <v>238</v>
      </c>
      <c r="U29" s="1"/>
      <c r="W29" s="34" t="s">
        <v>216</v>
      </c>
      <c r="Y29" s="2" t="s">
        <v>240</v>
      </c>
      <c r="AD29" s="2" t="s">
        <v>241</v>
      </c>
    </row>
    <row r="30" spans="1:30" ht="11.25" customHeight="1">
      <c r="A30" s="3">
        <v>28</v>
      </c>
      <c r="B30" s="7"/>
      <c r="C30" s="30" t="s">
        <v>242</v>
      </c>
      <c r="D30" s="6" t="s">
        <v>235</v>
      </c>
      <c r="E30" s="6" t="s">
        <v>243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8" t="s">
        <v>235</v>
      </c>
      <c r="R30" s="201">
        <f>R28+R29</f>
        <v>5850</v>
      </c>
      <c r="S30" s="201"/>
      <c r="T30" s="6" t="s">
        <v>238</v>
      </c>
      <c r="U30" s="1"/>
      <c r="W30" s="34" t="s">
        <v>244</v>
      </c>
      <c r="Y30" s="2" t="s">
        <v>245</v>
      </c>
      <c r="AD30" s="2" t="s">
        <v>246</v>
      </c>
    </row>
    <row r="31" spans="1:30" ht="11.25" customHeight="1">
      <c r="A31" s="3">
        <v>29</v>
      </c>
      <c r="B31" s="7"/>
      <c r="C31" s="30" t="s">
        <v>247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  <c r="W31" s="34" t="s">
        <v>248</v>
      </c>
      <c r="Y31" s="2" t="s">
        <v>249</v>
      </c>
      <c r="AD31" s="2" t="s">
        <v>241</v>
      </c>
    </row>
    <row r="32" spans="1:30" ht="11.25" customHeight="1">
      <c r="A32" s="3">
        <v>30</v>
      </c>
      <c r="B32" s="7" t="s">
        <v>250</v>
      </c>
      <c r="C32" s="30" t="s">
        <v>251</v>
      </c>
      <c r="D32" s="6" t="s">
        <v>235</v>
      </c>
      <c r="E32" s="6" t="str">
        <f>IF(X15=W29,AD29,IF(X15=W30,AD30,IF(X15=W31,AD31,IF(X15=W32,AD32,IF(X15=W33,AD33,"???")))))</f>
        <v>H  /  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8" t="s">
        <v>235</v>
      </c>
      <c r="R32" s="215">
        <f>IF(X15=W29,Q22/2,IF(X15=W30,Q22-(J24*(2*(Q22-J24)+L25)+(Q22-J24)^2)/(2*(Q22-J24+L25)),IF(X15=W31,Q22/2,IF(X15=W32,Q22/2,IF(X15=W33,Q22/2,"???")))))</f>
        <v>25</v>
      </c>
      <c r="S32" s="215"/>
      <c r="T32" s="6" t="s">
        <v>213</v>
      </c>
      <c r="U32" s="1"/>
      <c r="W32" s="34" t="s">
        <v>252</v>
      </c>
      <c r="Y32" s="2" t="s">
        <v>253</v>
      </c>
      <c r="AD32" s="2" t="s">
        <v>241</v>
      </c>
    </row>
    <row r="33" spans="1:30" ht="11.25" customHeight="1">
      <c r="A33" s="3">
        <v>31</v>
      </c>
      <c r="B33" s="7"/>
      <c r="C33" s="30" t="s">
        <v>254</v>
      </c>
      <c r="U33" s="1"/>
      <c r="W33" s="34" t="s">
        <v>255</v>
      </c>
      <c r="Y33" s="2" t="str">
        <f>Y32</f>
        <v>(  H  -  2 t2  )  x  t  +  2 B  x  t2</v>
      </c>
      <c r="AD33" s="2" t="str">
        <f>AD32</f>
        <v>H  /  2</v>
      </c>
    </row>
    <row r="34" spans="1:21" ht="11.25" customHeight="1">
      <c r="A34" s="3">
        <v>32</v>
      </c>
      <c r="B34" s="7"/>
      <c r="C34" s="30" t="s">
        <v>256</v>
      </c>
      <c r="D34" s="6" t="s">
        <v>235</v>
      </c>
      <c r="E34" s="6" t="s">
        <v>257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8" t="s">
        <v>235</v>
      </c>
      <c r="R34" s="216">
        <f>Q18/2+R29*G21/R30</f>
        <v>5.171794871794872</v>
      </c>
      <c r="S34" s="216"/>
      <c r="T34" s="6" t="s">
        <v>213</v>
      </c>
      <c r="U34" s="1"/>
    </row>
    <row r="35" spans="1:21" ht="11.25" customHeight="1">
      <c r="A35" s="3">
        <v>33</v>
      </c>
      <c r="B35" s="7"/>
      <c r="C35" s="30" t="s">
        <v>258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"/>
    </row>
    <row r="36" spans="1:25" ht="11.25" customHeight="1">
      <c r="A36" s="3">
        <v>34</v>
      </c>
      <c r="B36" s="7"/>
      <c r="C36" s="30" t="s">
        <v>259</v>
      </c>
      <c r="D36" s="6" t="s">
        <v>235</v>
      </c>
      <c r="E36" s="6" t="s">
        <v>260</v>
      </c>
      <c r="F36" s="6"/>
      <c r="G36" s="6" t="s">
        <v>235</v>
      </c>
      <c r="H36" s="208">
        <f>K16</f>
        <v>750</v>
      </c>
      <c r="I36" s="163"/>
      <c r="J36" s="8" t="s">
        <v>237</v>
      </c>
      <c r="K36" s="8">
        <f>Q18</f>
        <v>7.4</v>
      </c>
      <c r="L36" s="6" t="s">
        <v>261</v>
      </c>
      <c r="M36" s="8">
        <v>12</v>
      </c>
      <c r="N36" s="6"/>
      <c r="O36" s="6"/>
      <c r="P36" s="6"/>
      <c r="Q36" s="8" t="s">
        <v>235</v>
      </c>
      <c r="R36" s="201">
        <f>H36*K36^3/M36</f>
        <v>25326.500000000004</v>
      </c>
      <c r="S36" s="201"/>
      <c r="T36" s="6" t="s">
        <v>238</v>
      </c>
      <c r="U36" s="1"/>
      <c r="Y36" s="37" t="str">
        <f>C37</f>
        <v>  Is</v>
      </c>
    </row>
    <row r="37" spans="1:25" ht="11.25" customHeight="1">
      <c r="A37" s="3">
        <v>35</v>
      </c>
      <c r="B37" s="7"/>
      <c r="C37" s="30" t="s">
        <v>262</v>
      </c>
      <c r="D37" s="6" t="s">
        <v>235</v>
      </c>
      <c r="E37" s="6" t="str">
        <f>IF(X15=W37,Y37,IF(X15=W38,Y38,IF(X15=W39,Y39,IF(X15=W40,Y40,IF(X15=W41,Y41,"???")))))</f>
        <v>t  H^3  /  12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 t="s">
        <v>235</v>
      </c>
      <c r="R37" s="201">
        <f>IF(X15=W37,J24*Q22^3/12,IF(X15=W38,1/3*(J24*R32^3+L25*(Q22-R32)^3-(L25-J24)*(Q22-R32-J24)^3),IF(X15=W39,(L25*Q22^3-(Q22-2*M23)^3*(L25-J24))/12,IF(X15=W40,(L25*Q22^3-(Q22-2*M23)^3*(L25-J24))/12,IF(X15=W41,(L25*Q22^3-(Q22-2*M23)^3*(L25-J24))/12,"???")))))</f>
        <v>62500</v>
      </c>
      <c r="S37" s="201"/>
      <c r="T37" s="6" t="s">
        <v>238</v>
      </c>
      <c r="U37" s="1"/>
      <c r="W37" s="34" t="s">
        <v>216</v>
      </c>
      <c r="Y37" s="2" t="s">
        <v>263</v>
      </c>
    </row>
    <row r="38" spans="1:25" ht="11.25" customHeight="1">
      <c r="A38" s="3">
        <v>36</v>
      </c>
      <c r="B38" s="7"/>
      <c r="C38" s="30" t="s">
        <v>264</v>
      </c>
      <c r="D38" s="6" t="s">
        <v>235</v>
      </c>
      <c r="E38" s="6" t="s">
        <v>265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" t="s">
        <v>235</v>
      </c>
      <c r="R38" s="213">
        <f>R36+R37+R28*I20^2+R29*I21^2</f>
        <v>322261.3461538461</v>
      </c>
      <c r="S38" s="213"/>
      <c r="T38" s="6" t="s">
        <v>238</v>
      </c>
      <c r="U38" s="1"/>
      <c r="W38" s="34" t="s">
        <v>244</v>
      </c>
      <c r="Y38" s="2" t="s">
        <v>266</v>
      </c>
    </row>
    <row r="39" spans="1:25" ht="11.25" customHeight="1">
      <c r="A39" s="3">
        <v>37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01"/>
      <c r="S39" s="201"/>
      <c r="T39" s="6"/>
      <c r="U39" s="1"/>
      <c r="W39" s="34" t="s">
        <v>248</v>
      </c>
      <c r="Y39" s="2" t="s">
        <v>267</v>
      </c>
    </row>
    <row r="40" spans="1:25" ht="11.25" customHeight="1">
      <c r="A40" s="3">
        <v>38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"/>
      <c r="W40" s="34" t="s">
        <v>252</v>
      </c>
      <c r="Y40" s="2" t="s">
        <v>267</v>
      </c>
    </row>
    <row r="41" spans="1:25" ht="11.25" customHeight="1">
      <c r="A41" s="3">
        <v>39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"/>
      <c r="W41" s="34" t="s">
        <v>255</v>
      </c>
      <c r="Y41" s="2" t="str">
        <f>Y40</f>
        <v>[  B H^3  -  ( H - 2 t2 )^3  ( B - t )  ]  /  12</v>
      </c>
    </row>
    <row r="42" spans="1:21" ht="11.25" customHeight="1">
      <c r="A42" s="3">
        <v>40</v>
      </c>
      <c r="B42" s="209" t="s">
        <v>268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1"/>
    </row>
    <row r="43" spans="1:21" ht="11.25" customHeight="1">
      <c r="A43" s="3">
        <v>41</v>
      </c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"/>
    </row>
    <row r="44" spans="1:21" ht="11.25" customHeight="1">
      <c r="A44" s="3">
        <v>42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"/>
    </row>
    <row r="45" spans="1:21" ht="11.25" customHeight="1">
      <c r="A45" s="3">
        <v>43</v>
      </c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"/>
    </row>
    <row r="46" spans="1:21" ht="11.25" customHeight="1">
      <c r="A46" s="3">
        <v>44</v>
      </c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"/>
    </row>
    <row r="47" spans="1:21" ht="11.25" customHeight="1">
      <c r="A47" s="3">
        <v>45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"/>
    </row>
    <row r="48" spans="1:21" ht="11.25" customHeight="1">
      <c r="A48" s="3">
        <v>46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"/>
    </row>
    <row r="49" spans="1:21" ht="11.25" customHeight="1">
      <c r="A49" s="3">
        <v>47</v>
      </c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"/>
    </row>
    <row r="50" spans="1:21" ht="11.25" customHeight="1">
      <c r="A50" s="3">
        <v>48</v>
      </c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"/>
    </row>
    <row r="51" spans="1:21" ht="11.25" customHeight="1">
      <c r="A51" s="3">
        <v>49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"/>
    </row>
    <row r="52" spans="1:21" ht="11.25" customHeight="1">
      <c r="A52" s="3">
        <v>50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"/>
    </row>
    <row r="53" spans="1:21" ht="11.25" customHeight="1">
      <c r="A53" s="3">
        <v>51</v>
      </c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"/>
    </row>
    <row r="54" spans="1:21" ht="11.25" customHeight="1">
      <c r="A54" s="3">
        <v>52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"/>
    </row>
    <row r="55" spans="1:21" ht="11.25" customHeight="1">
      <c r="A55" s="3">
        <v>53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</row>
    <row r="56" spans="1:21" ht="11.25" customHeight="1">
      <c r="A56" s="3">
        <v>54</v>
      </c>
      <c r="B56" s="1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6"/>
    </row>
    <row r="57" spans="1:21" ht="11.25" customHeight="1">
      <c r="A57" s="3">
        <v>55</v>
      </c>
      <c r="B57" s="46" t="s">
        <v>340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7"/>
    </row>
    <row r="58" spans="1:21" ht="11.25" customHeight="1">
      <c r="A58" s="3">
        <v>56</v>
      </c>
      <c r="B58" s="47" t="s">
        <v>269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</row>
    <row r="59" spans="1:21" ht="11.25" customHeight="1">
      <c r="A59" s="3">
        <v>57</v>
      </c>
      <c r="B59" s="47" t="s">
        <v>270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</row>
    <row r="60" spans="1:21" ht="11.25" customHeight="1">
      <c r="A60" s="3">
        <v>58</v>
      </c>
      <c r="B60" s="47" t="s">
        <v>271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</row>
    <row r="61" spans="1:21" ht="11.25" customHeight="1">
      <c r="A61" s="3">
        <v>59</v>
      </c>
      <c r="B61" s="47" t="s">
        <v>272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</row>
    <row r="62" spans="1:21" ht="11.25" customHeight="1">
      <c r="A62" s="23">
        <v>60</v>
      </c>
      <c r="B62" s="49" t="s">
        <v>273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4"/>
    </row>
    <row r="63" spans="1:21" ht="11.25" customHeight="1">
      <c r="A63" s="3"/>
      <c r="B63" s="20" t="str">
        <f>cosymbol</f>
        <v> NTES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42" t="str">
        <f>coname</f>
        <v>Narai Thermal Engineering Services </v>
      </c>
    </row>
    <row r="64" ht="11.25" customHeight="1">
      <c r="A64" s="3"/>
    </row>
    <row r="65" ht="11.25" customHeight="1">
      <c r="A65" s="3"/>
    </row>
  </sheetData>
  <mergeCells count="28">
    <mergeCell ref="R38:S38"/>
    <mergeCell ref="R39:S39"/>
    <mergeCell ref="R32:S32"/>
    <mergeCell ref="R34:S34"/>
    <mergeCell ref="R37:S37"/>
    <mergeCell ref="R36:S36"/>
    <mergeCell ref="Z13:AA13"/>
    <mergeCell ref="W15:W16"/>
    <mergeCell ref="B14:U14"/>
    <mergeCell ref="P18:P19"/>
    <mergeCell ref="P13:R13"/>
    <mergeCell ref="H36:I36"/>
    <mergeCell ref="B10:U10"/>
    <mergeCell ref="B42:U42"/>
    <mergeCell ref="H11:I11"/>
    <mergeCell ref="H12:I12"/>
    <mergeCell ref="K16:L16"/>
    <mergeCell ref="Q18:Q19"/>
    <mergeCell ref="H28:I28"/>
    <mergeCell ref="R28:S28"/>
    <mergeCell ref="R29:S29"/>
    <mergeCell ref="R30:S30"/>
    <mergeCell ref="S9:T9"/>
    <mergeCell ref="B1:U2"/>
    <mergeCell ref="R4:U4"/>
    <mergeCell ref="R5:U5"/>
    <mergeCell ref="R3:U3"/>
    <mergeCell ref="R7:U7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F65"/>
  <sheetViews>
    <sheetView zoomScaleSheetLayoutView="100" workbookViewId="0" topLeftCell="A1">
      <selection activeCell="Q9" sqref="Q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202" t="s">
        <v>131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/>
    </row>
    <row r="2" spans="2:21" ht="11.25" customHeight="1"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11.25" customHeight="1">
      <c r="A3" s="3">
        <v>1</v>
      </c>
      <c r="B3" s="4" t="s">
        <v>0</v>
      </c>
      <c r="C3" s="5"/>
      <c r="D3" s="5"/>
      <c r="E3" s="13" t="str">
        <f>project</f>
        <v>P</v>
      </c>
      <c r="F3" s="5"/>
      <c r="G3" s="5"/>
      <c r="H3" s="5"/>
      <c r="I3" s="5"/>
      <c r="J3" s="5"/>
      <c r="K3" s="5"/>
      <c r="L3" s="5"/>
      <c r="M3" s="5"/>
      <c r="N3" s="5"/>
      <c r="O3" s="5"/>
      <c r="P3" s="15" t="str">
        <f>jobnoid</f>
        <v>Job No.</v>
      </c>
      <c r="Q3" s="15"/>
      <c r="R3" s="186" t="str">
        <f>jobno</f>
        <v>J</v>
      </c>
      <c r="S3" s="186"/>
      <c r="T3" s="186"/>
      <c r="U3" s="187"/>
    </row>
    <row r="4" spans="1:21" ht="11.25" customHeight="1">
      <c r="A4" s="3">
        <v>2</v>
      </c>
      <c r="B4" s="7" t="s">
        <v>1</v>
      </c>
      <c r="C4" s="6"/>
      <c r="D4" s="6"/>
      <c r="E4" s="30" t="str">
        <f>client</f>
        <v>A</v>
      </c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8</v>
      </c>
      <c r="Q4" s="6"/>
      <c r="R4" s="165" t="s">
        <v>344</v>
      </c>
      <c r="S4" s="165"/>
      <c r="T4" s="165"/>
      <c r="U4" s="174"/>
    </row>
    <row r="5" spans="1:21" ht="11.25" customHeight="1">
      <c r="A5" s="3">
        <v>3</v>
      </c>
      <c r="B5" s="7" t="s">
        <v>2</v>
      </c>
      <c r="C5" s="6"/>
      <c r="D5" s="6"/>
      <c r="E5" s="30" t="str">
        <f>contractor</f>
        <v>B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</v>
      </c>
      <c r="Q5" s="6"/>
      <c r="R5" s="165" t="s">
        <v>196</v>
      </c>
      <c r="S5" s="165"/>
      <c r="T5" s="165"/>
      <c r="U5" s="174"/>
    </row>
    <row r="6" spans="1:21" ht="11.25" customHeight="1">
      <c r="A6" s="3">
        <v>4</v>
      </c>
      <c r="B6" s="18"/>
      <c r="C6" s="9"/>
      <c r="D6" s="9"/>
      <c r="E6" s="51"/>
      <c r="F6" s="9"/>
      <c r="G6" s="9"/>
      <c r="H6" s="9"/>
      <c r="I6" s="9"/>
      <c r="J6" s="9"/>
      <c r="K6" s="9"/>
      <c r="L6" s="9"/>
      <c r="M6" s="9"/>
      <c r="N6" s="9"/>
      <c r="O6" s="9"/>
      <c r="P6" s="11" t="s">
        <v>9</v>
      </c>
      <c r="Q6" s="11"/>
      <c r="R6" s="113">
        <v>0</v>
      </c>
      <c r="S6" s="128"/>
      <c r="T6" s="128"/>
      <c r="U6" s="129"/>
    </row>
    <row r="7" spans="1:21" ht="11.25" customHeight="1">
      <c r="A7" s="3">
        <v>5</v>
      </c>
      <c r="B7" s="16" t="s">
        <v>128</v>
      </c>
      <c r="C7" s="15"/>
      <c r="D7" s="15"/>
      <c r="E7" s="53" t="str">
        <f>service</f>
        <v>Steam Surface Condenser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 t="s">
        <v>4</v>
      </c>
      <c r="Q7" s="15"/>
      <c r="R7" s="186" t="str">
        <f>itemno</f>
        <v>SSC - 001</v>
      </c>
      <c r="S7" s="186"/>
      <c r="T7" s="186"/>
      <c r="U7" s="187"/>
    </row>
    <row r="8" spans="1:21" ht="11.25" customHeight="1">
      <c r="A8" s="3">
        <v>6</v>
      </c>
      <c r="B8" s="7"/>
      <c r="C8" s="6"/>
      <c r="D8" s="6"/>
      <c r="E8" s="3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"/>
    </row>
    <row r="9" spans="1:21" ht="11.25" customHeight="1">
      <c r="A9" s="3">
        <v>7</v>
      </c>
      <c r="B9" s="1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 t="s">
        <v>10</v>
      </c>
      <c r="Q9" s="11"/>
      <c r="R9" s="52">
        <v>1</v>
      </c>
      <c r="S9" s="160" t="s">
        <v>11</v>
      </c>
      <c r="T9" s="160"/>
      <c r="U9" s="56">
        <v>1</v>
      </c>
    </row>
    <row r="10" spans="1:21" ht="11.25" customHeight="1">
      <c r="A10" s="3">
        <v>8</v>
      </c>
      <c r="B10" s="140" t="s">
        <v>101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2"/>
    </row>
    <row r="11" spans="1:21" ht="11.25" customHeight="1">
      <c r="A11" s="3">
        <v>9</v>
      </c>
      <c r="B11" s="4" t="s">
        <v>130</v>
      </c>
      <c r="C11" s="5"/>
      <c r="D11" s="5"/>
      <c r="E11" s="5"/>
      <c r="F11" s="98"/>
      <c r="G11" s="5"/>
      <c r="H11" s="212">
        <f>shellt</f>
        <v>9</v>
      </c>
      <c r="I11" s="212"/>
      <c r="J11" s="5" t="s">
        <v>12</v>
      </c>
      <c r="K11" s="98"/>
      <c r="L11" s="16"/>
      <c r="M11" s="5"/>
      <c r="N11" s="5"/>
      <c r="O11" s="5"/>
      <c r="P11" s="5"/>
      <c r="Q11" s="5"/>
      <c r="R11" s="5"/>
      <c r="S11" s="5"/>
      <c r="T11" s="5"/>
      <c r="U11" s="54"/>
    </row>
    <row r="12" spans="1:21" ht="11.25" customHeight="1">
      <c r="A12" s="3">
        <v>10</v>
      </c>
      <c r="B12" s="7" t="s">
        <v>129</v>
      </c>
      <c r="C12" s="6"/>
      <c r="D12" s="6"/>
      <c r="E12" s="6"/>
      <c r="F12" s="39"/>
      <c r="G12" s="6"/>
      <c r="H12" s="213">
        <f>spanh</f>
        <v>750</v>
      </c>
      <c r="I12" s="213"/>
      <c r="J12" s="6" t="s">
        <v>67</v>
      </c>
      <c r="K12" s="39"/>
      <c r="L12" s="7"/>
      <c r="M12" s="6"/>
      <c r="N12" s="6"/>
      <c r="O12" s="6"/>
      <c r="P12" s="6"/>
      <c r="Q12" s="6"/>
      <c r="R12" s="6"/>
      <c r="S12" s="6"/>
      <c r="T12" s="6"/>
      <c r="U12" s="1"/>
    </row>
    <row r="13" spans="1:32" ht="11.25" customHeight="1">
      <c r="A13" s="3">
        <v>11</v>
      </c>
      <c r="B13" s="7" t="s">
        <v>48</v>
      </c>
      <c r="C13" s="6"/>
      <c r="D13" s="6"/>
      <c r="E13" s="6"/>
      <c r="F13" s="6"/>
      <c r="G13" s="6"/>
      <c r="H13" s="6"/>
      <c r="I13" s="99" t="str">
        <f>IF(X17="Flat Bar","FB "&amp;AC17&amp;" x "&amp;AE17,X18)</f>
        <v>FB 50 x 6</v>
      </c>
      <c r="J13" s="6"/>
      <c r="K13" s="6"/>
      <c r="L13" s="10" t="s">
        <v>22</v>
      </c>
      <c r="M13" s="6"/>
      <c r="N13" s="6"/>
      <c r="O13" s="6"/>
      <c r="P13" s="130">
        <f>ca</f>
        <v>1.6</v>
      </c>
      <c r="Q13" s="130"/>
      <c r="R13" s="130"/>
      <c r="S13" s="39" t="s">
        <v>67</v>
      </c>
      <c r="T13" s="6"/>
      <c r="U13" s="1"/>
      <c r="W13" s="37" t="str">
        <f>B13</f>
        <v> Stiffener</v>
      </c>
      <c r="Z13" s="138" t="s">
        <v>91</v>
      </c>
      <c r="AA13" s="138"/>
      <c r="AC13" s="38" t="s">
        <v>92</v>
      </c>
      <c r="AD13" s="38" t="s">
        <v>89</v>
      </c>
      <c r="AE13" s="38" t="s">
        <v>90</v>
      </c>
      <c r="AF13" s="38" t="s">
        <v>93</v>
      </c>
    </row>
    <row r="14" spans="1:27" ht="11.25" customHeight="1">
      <c r="A14" s="3">
        <v>12</v>
      </c>
      <c r="B14" s="140" t="s">
        <v>132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W14" s="2" t="str">
        <f>stfnmcode</f>
        <v>ASTM</v>
      </c>
      <c r="Z14" s="3" t="s">
        <v>94</v>
      </c>
      <c r="AA14" s="3" t="s">
        <v>90</v>
      </c>
    </row>
    <row r="15" spans="1:32" ht="11.25" customHeight="1">
      <c r="A15" s="3">
        <v>13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2"/>
      <c r="Z15" s="36"/>
      <c r="AA15" s="36"/>
      <c r="AC15" s="36"/>
      <c r="AD15" s="36"/>
      <c r="AE15" s="36"/>
      <c r="AF15" s="36"/>
    </row>
    <row r="16" spans="1:32" ht="11.25" customHeight="1">
      <c r="A16" s="3">
        <v>14</v>
      </c>
      <c r="B16" s="19"/>
      <c r="C16" s="20"/>
      <c r="D16" s="20"/>
      <c r="E16" s="20"/>
      <c r="F16" s="20"/>
      <c r="G16" s="20"/>
      <c r="H16" s="20"/>
      <c r="I16" s="20"/>
      <c r="J16" s="60" t="s">
        <v>133</v>
      </c>
      <c r="K16" s="152">
        <f>H12</f>
        <v>750</v>
      </c>
      <c r="L16" s="152"/>
      <c r="M16" s="20"/>
      <c r="N16" s="20"/>
      <c r="O16" s="20"/>
      <c r="P16" s="20"/>
      <c r="Q16" s="20"/>
      <c r="R16" s="20"/>
      <c r="S16" s="20"/>
      <c r="T16" s="20"/>
      <c r="U16" s="22"/>
      <c r="AC16" s="3"/>
      <c r="AD16" s="3"/>
      <c r="AE16" s="3"/>
      <c r="AF16" s="3"/>
    </row>
    <row r="17" spans="1:32" ht="11.25" customHeight="1">
      <c r="A17" s="3">
        <v>15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2"/>
      <c r="W17" s="139" t="s">
        <v>109</v>
      </c>
      <c r="X17" s="2" t="str">
        <f>stfnvkind</f>
        <v>Flat Bar</v>
      </c>
      <c r="Z17" s="36">
        <f>fbvh</f>
        <v>50</v>
      </c>
      <c r="AA17" s="36">
        <f>fbvt</f>
        <v>6</v>
      </c>
      <c r="AB17" s="2" t="s">
        <v>54</v>
      </c>
      <c r="AC17" s="36">
        <f>IF(X17="Flat Bar",Z17,AC18)</f>
        <v>50</v>
      </c>
      <c r="AD17" s="36" t="str">
        <f>IF(X17="Flat Bar","***",AD18)</f>
        <v>***</v>
      </c>
      <c r="AE17" s="36">
        <f>IF(X17="Flat Bar",AA17,AE18)</f>
        <v>6</v>
      </c>
      <c r="AF17" s="36" t="str">
        <f>IF(X17="Flat Bar","***",IF(X17="L Angle","***",AF18))</f>
        <v>***</v>
      </c>
    </row>
    <row r="18" spans="1:32" ht="11.25" customHeight="1">
      <c r="A18" s="3">
        <v>16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4" t="s">
        <v>139</v>
      </c>
      <c r="Q18" s="150">
        <f>H11-P13</f>
        <v>7.4</v>
      </c>
      <c r="R18" s="20"/>
      <c r="S18" s="20"/>
      <c r="T18" s="20"/>
      <c r="U18" s="22"/>
      <c r="W18" s="139"/>
      <c r="X18" s="2" t="str">
        <f>stfnvsize</f>
        <v>L 50 x 50 x 6</v>
      </c>
      <c r="AB18" s="2" t="s">
        <v>55</v>
      </c>
      <c r="AC18" s="3" t="str">
        <f>IF(X17="Flat Bar","***",shapesteel(X17,X18,2))</f>
        <v>***</v>
      </c>
      <c r="AD18" s="3" t="str">
        <f>IF(X17="Flat Bar","***",shapesteel(X17,X18,3))</f>
        <v>***</v>
      </c>
      <c r="AE18" s="3" t="str">
        <f>IF(X17="Flat Bar","***",shapesteel(X17,X18,4))</f>
        <v>***</v>
      </c>
      <c r="AF18" s="3" t="str">
        <f>IF(X17="Flat Bar","***",IF(X17="L Angle","***",shapesteel(X17,X18,5)))</f>
        <v>***</v>
      </c>
    </row>
    <row r="19" spans="1:21" ht="11.25" customHeight="1">
      <c r="A19" s="3">
        <v>17</v>
      </c>
      <c r="B19" s="19"/>
      <c r="C19" s="20"/>
      <c r="D19" s="20"/>
      <c r="E19" s="96" t="s">
        <v>153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4"/>
      <c r="Q19" s="150"/>
      <c r="R19" s="20"/>
      <c r="S19" s="20"/>
      <c r="T19" s="20"/>
      <c r="U19" s="22"/>
    </row>
    <row r="20" spans="1:21" ht="11.25" customHeight="1">
      <c r="A20" s="3">
        <v>18</v>
      </c>
      <c r="B20" s="19"/>
      <c r="C20" s="20"/>
      <c r="D20" s="96" t="s">
        <v>152</v>
      </c>
      <c r="E20" s="112">
        <f>R34</f>
        <v>5.171794871794872</v>
      </c>
      <c r="F20" s="20"/>
      <c r="G20" s="78" t="s">
        <v>147</v>
      </c>
      <c r="H20" s="23" t="s">
        <v>166</v>
      </c>
      <c r="I20" s="23">
        <f>E20-Q18/2</f>
        <v>1.471794871794872</v>
      </c>
      <c r="J20" s="78" t="s">
        <v>125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2"/>
    </row>
    <row r="21" spans="1:21" ht="11.25" customHeight="1">
      <c r="A21" s="3">
        <v>19</v>
      </c>
      <c r="B21" s="19"/>
      <c r="C21" s="20"/>
      <c r="D21" s="23">
        <f>Q18+Q22</f>
        <v>57.4</v>
      </c>
      <c r="E21" s="20"/>
      <c r="F21" s="20"/>
      <c r="G21" s="23">
        <f>J21+Q18/2</f>
        <v>28.7</v>
      </c>
      <c r="H21" s="23" t="s">
        <v>167</v>
      </c>
      <c r="I21" s="23">
        <f>G21-I20</f>
        <v>27.228205128205126</v>
      </c>
      <c r="J21" s="89">
        <f>R32</f>
        <v>25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2"/>
    </row>
    <row r="22" spans="1:21" ht="11.25" customHeight="1">
      <c r="A22" s="3">
        <v>20</v>
      </c>
      <c r="B22" s="19"/>
      <c r="C22" s="20"/>
      <c r="D22" s="20"/>
      <c r="E22" s="96" t="s">
        <v>151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60" t="s">
        <v>138</v>
      </c>
      <c r="Q22" s="23">
        <f>AC17</f>
        <v>50</v>
      </c>
      <c r="R22" s="20"/>
      <c r="S22" s="20"/>
      <c r="T22" s="20"/>
      <c r="U22" s="22"/>
    </row>
    <row r="23" spans="1:21" ht="11.25" customHeight="1">
      <c r="A23" s="3">
        <v>21</v>
      </c>
      <c r="B23" s="19"/>
      <c r="C23" s="20"/>
      <c r="D23" s="20"/>
      <c r="E23" s="112">
        <f>D21-E20</f>
        <v>52.228205128205126</v>
      </c>
      <c r="F23" s="20"/>
      <c r="G23" s="20"/>
      <c r="H23" s="20"/>
      <c r="I23" s="20"/>
      <c r="J23" s="20"/>
      <c r="K23" s="20"/>
      <c r="L23" s="20"/>
      <c r="M23" s="23" t="str">
        <f>IF(X17="Flat Bar","***",IF(X17="L Angle",AE17,AF17))</f>
        <v>***</v>
      </c>
      <c r="N23" s="23">
        <f>IF(X17="Flat Bar","",IF(X17="L Angle","",""" t2 """))</f>
      </c>
      <c r="O23" s="20"/>
      <c r="P23" s="20"/>
      <c r="Q23" s="20"/>
      <c r="R23" s="20"/>
      <c r="S23" s="20"/>
      <c r="T23" s="20"/>
      <c r="U23" s="22"/>
    </row>
    <row r="24" spans="1:21" ht="11.25" customHeight="1">
      <c r="A24" s="3">
        <v>22</v>
      </c>
      <c r="B24" s="19"/>
      <c r="C24" s="20"/>
      <c r="D24" s="20"/>
      <c r="E24" s="20"/>
      <c r="F24" s="20"/>
      <c r="G24" s="20"/>
      <c r="H24" s="20"/>
      <c r="I24" s="60" t="s">
        <v>134</v>
      </c>
      <c r="J24" s="20">
        <f>AE17</f>
        <v>6</v>
      </c>
      <c r="K24" s="20"/>
      <c r="L24" s="78">
        <f>IF(X17="Flat Bar","",IF(X17="L Angle",""" B """,""" B """))</f>
      </c>
      <c r="M24" s="20"/>
      <c r="N24" s="20"/>
      <c r="O24" s="20"/>
      <c r="P24" s="20"/>
      <c r="Q24" s="20"/>
      <c r="R24" s="20"/>
      <c r="S24" s="20"/>
      <c r="T24" s="20"/>
      <c r="U24" s="22"/>
    </row>
    <row r="25" spans="1:21" ht="11.25" customHeight="1">
      <c r="A25" s="3">
        <v>23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3" t="str">
        <f>IF(X17="Flat Bar","***",AD17)</f>
        <v>***</v>
      </c>
      <c r="M25" s="20"/>
      <c r="N25" s="20"/>
      <c r="O25" s="20"/>
      <c r="P25" s="20"/>
      <c r="Q25" s="20"/>
      <c r="R25" s="20"/>
      <c r="S25" s="20"/>
      <c r="T25" s="20"/>
      <c r="U25" s="22"/>
    </row>
    <row r="26" spans="1:21" ht="11.25" customHeight="1">
      <c r="A26" s="3">
        <v>24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2"/>
    </row>
    <row r="27" spans="1:21" ht="11.25" customHeight="1">
      <c r="A27" s="3">
        <v>25</v>
      </c>
      <c r="B27" s="7"/>
      <c r="C27" s="30" t="s">
        <v>137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"/>
    </row>
    <row r="28" spans="1:30" ht="11.25" customHeight="1">
      <c r="A28" s="3">
        <v>26</v>
      </c>
      <c r="B28" s="7"/>
      <c r="C28" s="30" t="s">
        <v>148</v>
      </c>
      <c r="D28" s="6" t="s">
        <v>126</v>
      </c>
      <c r="E28" s="6" t="s">
        <v>135</v>
      </c>
      <c r="F28" s="6"/>
      <c r="G28" s="8" t="s">
        <v>126</v>
      </c>
      <c r="H28" s="208">
        <f>K16</f>
        <v>750</v>
      </c>
      <c r="I28" s="208"/>
      <c r="J28" s="8" t="s">
        <v>42</v>
      </c>
      <c r="K28" s="8">
        <f>Q18</f>
        <v>7.4</v>
      </c>
      <c r="L28" s="6"/>
      <c r="M28" s="6"/>
      <c r="N28" s="6"/>
      <c r="O28" s="6"/>
      <c r="P28" s="6"/>
      <c r="Q28" s="8" t="s">
        <v>126</v>
      </c>
      <c r="R28" s="201">
        <f>H28*K28</f>
        <v>5550</v>
      </c>
      <c r="S28" s="201"/>
      <c r="T28" s="6" t="s">
        <v>136</v>
      </c>
      <c r="U28" s="1"/>
      <c r="Y28" s="37" t="str">
        <f>C29</f>
        <v>  As</v>
      </c>
      <c r="AD28" s="37" t="str">
        <f>C32</f>
        <v>  y</v>
      </c>
    </row>
    <row r="29" spans="1:30" ht="11.25" customHeight="1">
      <c r="A29" s="3">
        <v>27</v>
      </c>
      <c r="B29" s="7"/>
      <c r="C29" s="30" t="s">
        <v>149</v>
      </c>
      <c r="D29" s="6" t="s">
        <v>126</v>
      </c>
      <c r="E29" s="6" t="str">
        <f>IF(X17=W29,Y29,IF(X17=W30,Y30,IF(X17=W31,Y31,IF(X17=W32,Y32,IF(X17=W33,Y33,"???")))))</f>
        <v>H  x  t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" t="s">
        <v>126</v>
      </c>
      <c r="R29" s="201">
        <f>IF(X17=W29,Q22*J24,IF(X17=W30,(Q22+L25-J24)*J24,IF(X17=W31,Q22*J24+(L25-J24)*M23,IF(X17=W32,(Q22-2*M23)*J24+2*L25*M23,IF(X17=W33,(Q22-2*M23)*J24+2*L25*M23,"???")))))</f>
        <v>300</v>
      </c>
      <c r="S29" s="201"/>
      <c r="T29" s="6" t="s">
        <v>136</v>
      </c>
      <c r="U29" s="1"/>
      <c r="W29" s="34" t="s">
        <v>141</v>
      </c>
      <c r="Y29" s="2" t="s">
        <v>168</v>
      </c>
      <c r="AD29" s="2" t="s">
        <v>169</v>
      </c>
    </row>
    <row r="30" spans="1:30" ht="11.25" customHeight="1">
      <c r="A30" s="3">
        <v>28</v>
      </c>
      <c r="B30" s="7"/>
      <c r="C30" s="30" t="s">
        <v>154</v>
      </c>
      <c r="D30" s="6" t="s">
        <v>126</v>
      </c>
      <c r="E30" s="6" t="s">
        <v>162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8" t="s">
        <v>126</v>
      </c>
      <c r="R30" s="201">
        <f>R28+R29</f>
        <v>5850</v>
      </c>
      <c r="S30" s="201"/>
      <c r="T30" s="6" t="s">
        <v>136</v>
      </c>
      <c r="U30" s="1"/>
      <c r="W30" s="34" t="s">
        <v>142</v>
      </c>
      <c r="Y30" s="2" t="s">
        <v>170</v>
      </c>
      <c r="AD30" s="2" t="s">
        <v>146</v>
      </c>
    </row>
    <row r="31" spans="1:30" ht="11.25" customHeight="1">
      <c r="A31" s="3">
        <v>29</v>
      </c>
      <c r="B31" s="7"/>
      <c r="C31" s="30" t="s">
        <v>140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  <c r="W31" s="34" t="s">
        <v>191</v>
      </c>
      <c r="Y31" s="2" t="s">
        <v>171</v>
      </c>
      <c r="AD31" s="2" t="s">
        <v>169</v>
      </c>
    </row>
    <row r="32" spans="1:30" ht="11.25" customHeight="1">
      <c r="A32" s="3">
        <v>30</v>
      </c>
      <c r="B32" s="7" t="s">
        <v>145</v>
      </c>
      <c r="C32" s="30" t="s">
        <v>150</v>
      </c>
      <c r="D32" s="6" t="s">
        <v>126</v>
      </c>
      <c r="E32" s="6" t="str">
        <f>IF(X17=W29,AD29,IF(X17=W30,AD30,IF(X17=W31,AD31,IF(X17=W32,AD32,IF(X17=W33,AD33,"???")))))</f>
        <v>H  /  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8" t="s">
        <v>126</v>
      </c>
      <c r="R32" s="215">
        <f>IF(X17=W29,Q22/2,IF(X17=W30,Q22-(J24*(2*(Q22-J24)+L25)+(Q22-J24)^2)/(2*(Q22-J24+L25)),IF(X17=W31,Q22/2,IF(X17=W32,Q22/2,IF(X17=W33,Q22/2,"???")))))</f>
        <v>25</v>
      </c>
      <c r="S32" s="215"/>
      <c r="T32" s="6" t="s">
        <v>67</v>
      </c>
      <c r="U32" s="1"/>
      <c r="W32" s="34" t="s">
        <v>143</v>
      </c>
      <c r="Y32" s="2" t="s">
        <v>172</v>
      </c>
      <c r="AD32" s="2" t="s">
        <v>169</v>
      </c>
    </row>
    <row r="33" spans="1:30" ht="11.25" customHeight="1">
      <c r="A33" s="3">
        <v>31</v>
      </c>
      <c r="B33" s="7"/>
      <c r="C33" s="30" t="s">
        <v>156</v>
      </c>
      <c r="U33" s="1"/>
      <c r="W33" s="34" t="s">
        <v>144</v>
      </c>
      <c r="Y33" s="2" t="str">
        <f>Y32</f>
        <v>(  H  -  2 t2  )  x  t  +  2 B  x  t2</v>
      </c>
      <c r="AD33" s="2" t="str">
        <f>AD32</f>
        <v>H  /  2</v>
      </c>
    </row>
    <row r="34" spans="1:21" ht="11.25" customHeight="1">
      <c r="A34" s="3">
        <v>32</v>
      </c>
      <c r="B34" s="7"/>
      <c r="C34" s="30" t="s">
        <v>155</v>
      </c>
      <c r="D34" s="6" t="s">
        <v>126</v>
      </c>
      <c r="E34" s="6" t="s">
        <v>163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8" t="s">
        <v>126</v>
      </c>
      <c r="R34" s="216">
        <f>Q18/2+R29*G21/R30</f>
        <v>5.171794871794872</v>
      </c>
      <c r="S34" s="216"/>
      <c r="T34" s="6" t="s">
        <v>67</v>
      </c>
      <c r="U34" s="1"/>
    </row>
    <row r="35" spans="1:21" ht="11.25" customHeight="1">
      <c r="A35" s="3">
        <v>33</v>
      </c>
      <c r="B35" s="7"/>
      <c r="C35" s="30" t="s">
        <v>124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"/>
    </row>
    <row r="36" spans="1:25" ht="11.25" customHeight="1">
      <c r="A36" s="3">
        <v>34</v>
      </c>
      <c r="B36" s="7"/>
      <c r="C36" s="30" t="s">
        <v>157</v>
      </c>
      <c r="D36" s="6" t="s">
        <v>126</v>
      </c>
      <c r="E36" s="6" t="s">
        <v>165</v>
      </c>
      <c r="F36" s="6"/>
      <c r="G36" s="6" t="s">
        <v>75</v>
      </c>
      <c r="H36" s="208">
        <f>K16</f>
        <v>750</v>
      </c>
      <c r="I36" s="163"/>
      <c r="J36" s="8" t="s">
        <v>160</v>
      </c>
      <c r="K36" s="8">
        <f>Q18</f>
        <v>7.4</v>
      </c>
      <c r="L36" s="6" t="s">
        <v>161</v>
      </c>
      <c r="M36" s="8">
        <v>12</v>
      </c>
      <c r="N36" s="6"/>
      <c r="O36" s="6"/>
      <c r="P36" s="6"/>
      <c r="Q36" s="8" t="s">
        <v>126</v>
      </c>
      <c r="R36" s="201">
        <f>H36*K36^3/M36</f>
        <v>25326.500000000004</v>
      </c>
      <c r="S36" s="201"/>
      <c r="T36" s="6" t="s">
        <v>136</v>
      </c>
      <c r="U36" s="1"/>
      <c r="Y36" s="37" t="str">
        <f>C37</f>
        <v>  Is</v>
      </c>
    </row>
    <row r="37" spans="1:25" ht="11.25" customHeight="1">
      <c r="A37" s="3">
        <v>35</v>
      </c>
      <c r="B37" s="7"/>
      <c r="C37" s="30" t="s">
        <v>158</v>
      </c>
      <c r="D37" s="6" t="s">
        <v>126</v>
      </c>
      <c r="E37" s="6" t="str">
        <f>IF(X17=W37,Y37,IF(X17=W38,Y38,IF(X17=W39,Y39,IF(X17=W40,Y40,IF(X17=W41,Y41,"???")))))</f>
        <v>t  H^3  /  12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 t="s">
        <v>126</v>
      </c>
      <c r="R37" s="201">
        <f>IF(X17=W37,J24*Q22^3/12,IF(X17=W38,1/3*(J24*R32^3+L25*(Q22-R32)^3-(L25-J24)*(Q22-R32-J24)^3),IF(X17=W39,(L25*Q22^3-(Q22-2*M23)^3*(L25-J24))/12,IF(X17=W40,(L25*Q22^3-(Q22-2*M23)^3*(L25-J24))/12,IF(X17=W41,(L25*Q22^3-(Q22-2*M23)^3*(L25-J24))/12,"???")))))</f>
        <v>62500</v>
      </c>
      <c r="S37" s="201"/>
      <c r="T37" s="6" t="s">
        <v>136</v>
      </c>
      <c r="U37" s="1"/>
      <c r="W37" s="34" t="s">
        <v>141</v>
      </c>
      <c r="Y37" s="2" t="s">
        <v>173</v>
      </c>
    </row>
    <row r="38" spans="1:25" ht="11.25" customHeight="1">
      <c r="A38" s="3">
        <v>36</v>
      </c>
      <c r="B38" s="7"/>
      <c r="C38" s="30" t="s">
        <v>159</v>
      </c>
      <c r="D38" s="6" t="s">
        <v>126</v>
      </c>
      <c r="E38" s="6" t="s">
        <v>164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" t="s">
        <v>126</v>
      </c>
      <c r="R38" s="213">
        <f>R36+R37+R28*I20^2+R29*I21^2</f>
        <v>322261.3461538461</v>
      </c>
      <c r="S38" s="213"/>
      <c r="T38" s="6" t="s">
        <v>136</v>
      </c>
      <c r="U38" s="1"/>
      <c r="W38" s="34" t="s">
        <v>142</v>
      </c>
      <c r="Y38" s="2" t="s">
        <v>174</v>
      </c>
    </row>
    <row r="39" spans="1:25" ht="11.25" customHeight="1">
      <c r="A39" s="3">
        <v>37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01"/>
      <c r="S39" s="201"/>
      <c r="T39" s="6"/>
      <c r="U39" s="1"/>
      <c r="W39" s="34" t="s">
        <v>191</v>
      </c>
      <c r="Y39" s="2" t="s">
        <v>175</v>
      </c>
    </row>
    <row r="40" spans="1:25" ht="11.25" customHeight="1">
      <c r="A40" s="3">
        <v>38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"/>
      <c r="W40" s="34" t="s">
        <v>143</v>
      </c>
      <c r="Y40" s="2" t="s">
        <v>175</v>
      </c>
    </row>
    <row r="41" spans="1:25" ht="11.25" customHeight="1">
      <c r="A41" s="3">
        <v>39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"/>
      <c r="W41" s="34" t="s">
        <v>144</v>
      </c>
      <c r="Y41" s="2" t="str">
        <f>Y40</f>
        <v>[  B H^3  -  ( H - 2 t2 )^3  ( B - t )  ]  /  12</v>
      </c>
    </row>
    <row r="42" spans="1:21" ht="11.25" customHeight="1">
      <c r="A42" s="3">
        <v>40</v>
      </c>
      <c r="B42" s="209" t="s">
        <v>176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1"/>
    </row>
    <row r="43" spans="1:21" ht="11.25" customHeight="1">
      <c r="A43" s="3">
        <v>41</v>
      </c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"/>
    </row>
    <row r="44" spans="1:21" ht="11.25" customHeight="1">
      <c r="A44" s="3">
        <v>42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"/>
    </row>
    <row r="45" spans="1:21" ht="11.25" customHeight="1">
      <c r="A45" s="3">
        <v>43</v>
      </c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"/>
    </row>
    <row r="46" spans="1:21" ht="11.25" customHeight="1">
      <c r="A46" s="3">
        <v>44</v>
      </c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"/>
    </row>
    <row r="47" spans="1:21" ht="11.25" customHeight="1">
      <c r="A47" s="3">
        <v>45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"/>
    </row>
    <row r="48" spans="1:21" ht="11.25" customHeight="1">
      <c r="A48" s="3">
        <v>46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"/>
    </row>
    <row r="49" spans="1:21" ht="11.25" customHeight="1">
      <c r="A49" s="3">
        <v>47</v>
      </c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"/>
    </row>
    <row r="50" spans="1:21" ht="11.25" customHeight="1">
      <c r="A50" s="3">
        <v>48</v>
      </c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"/>
    </row>
    <row r="51" spans="1:21" ht="11.25" customHeight="1">
      <c r="A51" s="3">
        <v>49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"/>
    </row>
    <row r="52" spans="1:21" ht="11.25" customHeight="1">
      <c r="A52" s="3">
        <v>50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"/>
    </row>
    <row r="53" spans="1:21" ht="11.25" customHeight="1">
      <c r="A53" s="3">
        <v>51</v>
      </c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"/>
    </row>
    <row r="54" spans="1:21" ht="11.25" customHeight="1">
      <c r="A54" s="3">
        <v>52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"/>
    </row>
    <row r="55" spans="1:21" ht="11.25" customHeight="1">
      <c r="A55" s="3">
        <v>53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</row>
    <row r="56" spans="1:21" ht="11.25" customHeight="1">
      <c r="A56" s="3">
        <v>54</v>
      </c>
      <c r="B56" s="1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6"/>
    </row>
    <row r="57" spans="1:21" ht="11.25" customHeight="1">
      <c r="A57" s="3">
        <v>55</v>
      </c>
      <c r="B57" s="46" t="s">
        <v>340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7"/>
    </row>
    <row r="58" spans="1:21" ht="11.25" customHeight="1">
      <c r="A58" s="3">
        <v>56</v>
      </c>
      <c r="B58" s="47" t="s">
        <v>26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</row>
    <row r="59" spans="1:21" ht="11.25" customHeight="1">
      <c r="A59" s="3">
        <v>57</v>
      </c>
      <c r="B59" s="47" t="s">
        <v>27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</row>
    <row r="60" spans="1:21" ht="11.25" customHeight="1">
      <c r="A60" s="3">
        <v>58</v>
      </c>
      <c r="B60" s="47" t="s">
        <v>28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</row>
    <row r="61" spans="1:21" ht="11.25" customHeight="1">
      <c r="A61" s="3">
        <v>59</v>
      </c>
      <c r="B61" s="47" t="s">
        <v>43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</row>
    <row r="62" spans="1:21" ht="11.25" customHeight="1">
      <c r="A62" s="23">
        <v>60</v>
      </c>
      <c r="B62" s="49" t="s">
        <v>44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4"/>
    </row>
    <row r="63" spans="1:21" ht="11.25" customHeight="1">
      <c r="A63" s="3"/>
      <c r="B63" s="20" t="str">
        <f>cosymbol</f>
        <v> NTES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42" t="str">
        <f>coname</f>
        <v>Narai Thermal Engineering Services </v>
      </c>
    </row>
    <row r="64" ht="11.25" customHeight="1">
      <c r="A64" s="3"/>
    </row>
    <row r="65" ht="11.25" customHeight="1">
      <c r="A65" s="3"/>
    </row>
  </sheetData>
  <mergeCells count="28">
    <mergeCell ref="R30:S30"/>
    <mergeCell ref="S9:T9"/>
    <mergeCell ref="B1:U2"/>
    <mergeCell ref="R4:U4"/>
    <mergeCell ref="R5:U5"/>
    <mergeCell ref="R3:U3"/>
    <mergeCell ref="R7:U7"/>
    <mergeCell ref="H36:I36"/>
    <mergeCell ref="B10:U10"/>
    <mergeCell ref="B42:U42"/>
    <mergeCell ref="H11:I11"/>
    <mergeCell ref="H12:I12"/>
    <mergeCell ref="K16:L16"/>
    <mergeCell ref="Q18:Q19"/>
    <mergeCell ref="H28:I28"/>
    <mergeCell ref="R28:S28"/>
    <mergeCell ref="R29:S29"/>
    <mergeCell ref="Z13:AA13"/>
    <mergeCell ref="W17:W18"/>
    <mergeCell ref="B14:U14"/>
    <mergeCell ref="P18:P19"/>
    <mergeCell ref="P13:R13"/>
    <mergeCell ref="R38:S38"/>
    <mergeCell ref="R39:S39"/>
    <mergeCell ref="R32:S32"/>
    <mergeCell ref="R34:S34"/>
    <mergeCell ref="R37:S37"/>
    <mergeCell ref="R36:S36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U65"/>
  <sheetViews>
    <sheetView zoomScaleSheetLayoutView="100" workbookViewId="0" topLeftCell="A1">
      <selection activeCell="Q9" sqref="Q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133" t="str">
        <f>title</f>
        <v>S T R E N G T H     C A L C U L A T I O N     f o r     F L A T     P L A T E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2:21" ht="11.25" customHeight="1">
      <c r="B2" s="136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2"/>
    </row>
    <row r="3" spans="1:21" ht="11.25" customHeight="1">
      <c r="A3" s="3">
        <v>1</v>
      </c>
      <c r="B3" s="4" t="s">
        <v>30</v>
      </c>
      <c r="C3" s="5"/>
      <c r="D3" s="5"/>
      <c r="E3" s="13" t="str">
        <f>project</f>
        <v>P</v>
      </c>
      <c r="F3" s="5"/>
      <c r="G3" s="5"/>
      <c r="H3" s="5"/>
      <c r="I3" s="5"/>
      <c r="J3" s="5"/>
      <c r="K3" s="5"/>
      <c r="L3" s="5"/>
      <c r="M3" s="5"/>
      <c r="N3" s="5"/>
      <c r="O3" s="5"/>
      <c r="P3" s="15" t="str">
        <f>jobnoid</f>
        <v>Job No.</v>
      </c>
      <c r="Q3" s="15"/>
      <c r="R3" s="186" t="str">
        <f>jobno</f>
        <v>J</v>
      </c>
      <c r="S3" s="186"/>
      <c r="T3" s="186"/>
      <c r="U3" s="187"/>
    </row>
    <row r="4" spans="1:21" ht="11.25" customHeight="1">
      <c r="A4" s="3">
        <v>2</v>
      </c>
      <c r="B4" s="7" t="s">
        <v>32</v>
      </c>
      <c r="C4" s="6"/>
      <c r="D4" s="6"/>
      <c r="E4" s="30" t="str">
        <f>client</f>
        <v>A</v>
      </c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165" t="str">
        <f>docno</f>
        <v>SC - FP - 100</v>
      </c>
      <c r="S4" s="165"/>
      <c r="T4" s="165"/>
      <c r="U4" s="174"/>
    </row>
    <row r="5" spans="1:21" ht="11.25" customHeight="1">
      <c r="A5" s="3">
        <v>3</v>
      </c>
      <c r="B5" s="7" t="s">
        <v>34</v>
      </c>
      <c r="C5" s="6"/>
      <c r="D5" s="6"/>
      <c r="E5" s="30" t="str">
        <f>contractor</f>
        <v>B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33</v>
      </c>
      <c r="Q5" s="6"/>
      <c r="R5" s="165" t="s">
        <v>41</v>
      </c>
      <c r="S5" s="165"/>
      <c r="T5" s="165"/>
      <c r="U5" s="174"/>
    </row>
    <row r="6" spans="1:21" ht="11.25" customHeight="1">
      <c r="A6" s="3">
        <v>4</v>
      </c>
      <c r="B6" s="18"/>
      <c r="C6" s="9"/>
      <c r="D6" s="9"/>
      <c r="E6" s="51"/>
      <c r="F6" s="9"/>
      <c r="G6" s="9"/>
      <c r="H6" s="9"/>
      <c r="I6" s="9"/>
      <c r="J6" s="9"/>
      <c r="K6" s="9"/>
      <c r="L6" s="9"/>
      <c r="M6" s="9"/>
      <c r="N6" s="9"/>
      <c r="O6" s="9"/>
      <c r="P6" s="11" t="s">
        <v>35</v>
      </c>
      <c r="Q6" s="11"/>
      <c r="R6" s="113">
        <v>0</v>
      </c>
      <c r="S6" s="128"/>
      <c r="T6" s="128"/>
      <c r="U6" s="129"/>
    </row>
    <row r="7" spans="1:21" ht="11.25" customHeight="1">
      <c r="A7" s="3">
        <v>5</v>
      </c>
      <c r="B7" s="16" t="s">
        <v>38</v>
      </c>
      <c r="C7" s="15"/>
      <c r="D7" s="15"/>
      <c r="E7" s="53" t="str">
        <f>service</f>
        <v>Steam Surface Condenser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 t="s">
        <v>39</v>
      </c>
      <c r="Q7" s="15"/>
      <c r="R7" s="186" t="str">
        <f>itemno</f>
        <v>SSC - 001</v>
      </c>
      <c r="S7" s="186"/>
      <c r="T7" s="186"/>
      <c r="U7" s="187"/>
    </row>
    <row r="8" spans="1:21" ht="11.25" customHeight="1">
      <c r="A8" s="3">
        <v>6</v>
      </c>
      <c r="B8" s="7"/>
      <c r="C8" s="6"/>
      <c r="D8" s="6"/>
      <c r="E8" s="3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"/>
    </row>
    <row r="9" spans="1:21" ht="11.25" customHeight="1">
      <c r="A9" s="3">
        <v>7</v>
      </c>
      <c r="B9" s="1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 t="s">
        <v>36</v>
      </c>
      <c r="Q9" s="11"/>
      <c r="R9" s="52">
        <v>0</v>
      </c>
      <c r="S9" s="160" t="s">
        <v>37</v>
      </c>
      <c r="T9" s="160"/>
      <c r="U9" s="12">
        <f>sheetqty</f>
        <v>2</v>
      </c>
    </row>
    <row r="10" spans="1:21" ht="11.25" customHeight="1">
      <c r="A10" s="3">
        <v>8</v>
      </c>
      <c r="B10" s="140" t="s">
        <v>40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2"/>
    </row>
    <row r="11" spans="1:21" ht="11.25" customHeight="1">
      <c r="A11" s="3">
        <v>9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4"/>
    </row>
    <row r="12" spans="1:21" ht="11.25" customHeight="1">
      <c r="A12" s="3">
        <v>10</v>
      </c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"/>
    </row>
    <row r="13" spans="1:21" ht="11.25" customHeight="1">
      <c r="A13" s="3">
        <v>11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"/>
    </row>
    <row r="14" spans="1:21" ht="11.25" customHeight="1">
      <c r="A14" s="3">
        <v>12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"/>
    </row>
    <row r="15" spans="1:21" ht="11.25" customHeight="1">
      <c r="A15" s="3">
        <v>13</v>
      </c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"/>
    </row>
    <row r="16" spans="1:21" ht="11.25" customHeight="1">
      <c r="A16" s="3">
        <v>14</v>
      </c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"/>
    </row>
    <row r="17" spans="1:21" ht="11.25" customHeight="1">
      <c r="A17" s="3">
        <v>15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"/>
    </row>
    <row r="18" spans="1:21" ht="11.25" customHeight="1">
      <c r="A18" s="3">
        <v>16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"/>
    </row>
    <row r="19" spans="1:21" ht="11.25" customHeight="1">
      <c r="A19" s="3">
        <v>17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"/>
    </row>
    <row r="20" spans="1:21" ht="11.25" customHeight="1">
      <c r="A20" s="3">
        <v>18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"/>
    </row>
    <row r="21" spans="1:21" ht="11.25" customHeight="1">
      <c r="A21" s="3">
        <v>19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"/>
    </row>
    <row r="22" spans="1:21" ht="11.25" customHeight="1">
      <c r="A22" s="3">
        <v>20</v>
      </c>
      <c r="B22" s="1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26"/>
    </row>
    <row r="23" spans="1:21" ht="11.25" customHeight="1">
      <c r="A23" s="3">
        <v>21</v>
      </c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</row>
    <row r="24" spans="1:21" ht="11.25" customHeight="1">
      <c r="A24" s="3">
        <v>22</v>
      </c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"/>
    </row>
    <row r="25" spans="1:21" ht="11.25" customHeight="1">
      <c r="A25" s="3">
        <v>23</v>
      </c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"/>
    </row>
    <row r="26" spans="1:21" ht="11.25" customHeight="1">
      <c r="A26" s="3">
        <v>24</v>
      </c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"/>
    </row>
    <row r="27" spans="1:21" ht="11.25" customHeight="1">
      <c r="A27" s="3">
        <v>25</v>
      </c>
      <c r="B27" s="140" t="s">
        <v>40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</row>
    <row r="28" spans="1:21" ht="11.25" customHeight="1">
      <c r="A28" s="3">
        <v>26</v>
      </c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"/>
    </row>
    <row r="29" spans="1:21" ht="11.25" customHeight="1">
      <c r="A29" s="3">
        <v>27</v>
      </c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"/>
    </row>
    <row r="30" spans="1:21" ht="11.25" customHeight="1">
      <c r="A30" s="3">
        <v>28</v>
      </c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"/>
    </row>
    <row r="31" spans="1:21" ht="11.25" customHeight="1">
      <c r="A31" s="3">
        <v>29</v>
      </c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1.25" customHeight="1">
      <c r="A32" s="3">
        <v>30</v>
      </c>
      <c r="B32" s="1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6"/>
    </row>
    <row r="33" spans="1:21" ht="11.25" customHeight="1">
      <c r="A33" s="3">
        <v>31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1.25" customHeight="1">
      <c r="A34" s="3">
        <v>32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"/>
    </row>
    <row r="35" spans="1:21" ht="11.25" customHeight="1">
      <c r="A35" s="3">
        <v>33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"/>
    </row>
    <row r="36" spans="1:21" ht="11.25" customHeight="1">
      <c r="A36" s="3">
        <v>34</v>
      </c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"/>
    </row>
    <row r="37" spans="1:21" ht="11.25" customHeight="1">
      <c r="A37" s="3">
        <v>35</v>
      </c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1.25" customHeight="1">
      <c r="A38" s="3">
        <v>36</v>
      </c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1.25" customHeight="1">
      <c r="A39" s="3">
        <v>37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1.25" customHeight="1">
      <c r="A40" s="3">
        <v>38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"/>
    </row>
    <row r="41" spans="1:21" ht="11.25" customHeight="1">
      <c r="A41" s="3">
        <v>39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"/>
    </row>
    <row r="42" spans="1:21" ht="11.25" customHeight="1">
      <c r="A42" s="3">
        <v>40</v>
      </c>
      <c r="B42" s="140" t="s">
        <v>40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2"/>
    </row>
    <row r="43" spans="1:21" ht="11.25" customHeight="1">
      <c r="A43" s="3">
        <v>41</v>
      </c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"/>
    </row>
    <row r="44" spans="1:21" ht="11.25" customHeight="1">
      <c r="A44" s="3">
        <v>42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"/>
    </row>
    <row r="45" spans="1:21" ht="11.25" customHeight="1">
      <c r="A45" s="3">
        <v>43</v>
      </c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"/>
    </row>
    <row r="46" spans="1:21" ht="11.25" customHeight="1">
      <c r="A46" s="3">
        <v>44</v>
      </c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"/>
    </row>
    <row r="47" spans="1:21" ht="11.25" customHeight="1">
      <c r="A47" s="3">
        <v>45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"/>
    </row>
    <row r="48" spans="1:21" ht="11.25" customHeight="1">
      <c r="A48" s="3">
        <v>46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"/>
    </row>
    <row r="49" spans="1:21" ht="11.25" customHeight="1">
      <c r="A49" s="3">
        <v>47</v>
      </c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"/>
    </row>
    <row r="50" spans="1:21" ht="11.25" customHeight="1">
      <c r="A50" s="3">
        <v>48</v>
      </c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"/>
    </row>
    <row r="51" spans="1:21" ht="11.25" customHeight="1">
      <c r="A51" s="3">
        <v>49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"/>
    </row>
    <row r="52" spans="1:21" ht="11.25" customHeight="1">
      <c r="A52" s="3">
        <v>50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"/>
    </row>
    <row r="53" spans="1:21" ht="11.25" customHeight="1">
      <c r="A53" s="3">
        <v>51</v>
      </c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"/>
    </row>
    <row r="54" spans="1:21" ht="11.25" customHeight="1">
      <c r="A54" s="3">
        <v>52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"/>
    </row>
    <row r="55" spans="1:21" ht="11.25" customHeight="1">
      <c r="A55" s="3">
        <v>53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</row>
    <row r="56" spans="1:21" ht="11.25" customHeight="1">
      <c r="A56" s="3">
        <v>54</v>
      </c>
      <c r="B56" s="1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6"/>
    </row>
    <row r="57" spans="1:21" ht="11.25" customHeight="1">
      <c r="A57" s="3">
        <v>55</v>
      </c>
      <c r="B57" s="46" t="s">
        <v>340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7"/>
    </row>
    <row r="58" spans="1:21" ht="11.25" customHeight="1">
      <c r="A58" s="3">
        <v>56</v>
      </c>
      <c r="B58" s="47" t="s">
        <v>26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</row>
    <row r="59" spans="1:21" ht="11.25" customHeight="1">
      <c r="A59" s="3">
        <v>57</v>
      </c>
      <c r="B59" s="47" t="s">
        <v>27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</row>
    <row r="60" spans="1:21" ht="11.25" customHeight="1">
      <c r="A60" s="3">
        <v>58</v>
      </c>
      <c r="B60" s="47" t="s">
        <v>28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</row>
    <row r="61" spans="1:21" ht="11.25" customHeight="1">
      <c r="A61" s="3">
        <v>59</v>
      </c>
      <c r="B61" s="47" t="s">
        <v>43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</row>
    <row r="62" spans="1:21" ht="11.25" customHeight="1">
      <c r="A62" s="23">
        <v>60</v>
      </c>
      <c r="B62" s="49" t="s">
        <v>44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4"/>
    </row>
    <row r="63" spans="1:21" ht="11.25" customHeight="1">
      <c r="A63" s="3"/>
      <c r="B63" s="20" t="str">
        <f>cosymbol</f>
        <v> NTES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42" t="str">
        <f>coname</f>
        <v>Narai Thermal Engineering Services </v>
      </c>
    </row>
    <row r="64" ht="11.25" customHeight="1">
      <c r="A64" s="3"/>
    </row>
    <row r="65" ht="11.25" customHeight="1">
      <c r="A65" s="3"/>
    </row>
  </sheetData>
  <mergeCells count="9">
    <mergeCell ref="B10:U10"/>
    <mergeCell ref="B27:U27"/>
    <mergeCell ref="B42:U42"/>
    <mergeCell ref="S9:T9"/>
    <mergeCell ref="R7:U7"/>
    <mergeCell ref="B1:U2"/>
    <mergeCell ref="R4:U4"/>
    <mergeCell ref="R5:U5"/>
    <mergeCell ref="R3:U3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2016-01-05T09:35:59Z</cp:lastPrinted>
  <dcterms:created xsi:type="dcterms:W3CDTF">2003-02-24T11:18:01Z</dcterms:created>
  <dcterms:modified xsi:type="dcterms:W3CDTF">2016-01-19T09:36:04Z</dcterms:modified>
  <cp:category/>
  <cp:version/>
  <cp:contentType/>
  <cp:contentStatus/>
</cp:coreProperties>
</file>